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RicevutiContabilità\202601\"/>
    </mc:Choice>
  </mc:AlternateContent>
  <bookViews>
    <workbookView xWindow="28680" yWindow="-120" windowWidth="29040" windowHeight="15720" activeTab="1"/>
  </bookViews>
  <sheets>
    <sheet name="Revenue" sheetId="1" r:id="rId1"/>
    <sheet name="Expenditure" sheetId="2" r:id="rId2"/>
  </sheets>
  <definedNames>
    <definedName name="_xlnm._FilterDatabase" localSheetId="1" hidden="1">Expenditure!$B$5:$D$11</definedName>
    <definedName name="_xlnm._FilterDatabase" localSheetId="0" hidden="1">Revenue!$B$5:$D$11</definedName>
  </definedNames>
  <calcPr calcId="152511"/>
</workbook>
</file>

<file path=xl/calcChain.xml><?xml version="1.0" encoding="utf-8"?>
<calcChain xmlns="http://schemas.openxmlformats.org/spreadsheetml/2006/main">
  <c r="Z18" i="1" l="1"/>
  <c r="Z28" i="1"/>
  <c r="Z34" i="1"/>
  <c r="Z40" i="1"/>
  <c r="Z44" i="2"/>
  <c r="Z38" i="2"/>
  <c r="Z28" i="2"/>
  <c r="Z45" i="2" s="1"/>
  <c r="Z48" i="2" s="1"/>
  <c r="X23" i="1"/>
  <c r="X15" i="1"/>
  <c r="Z35" i="1" l="1"/>
  <c r="Z41" i="1" s="1"/>
  <c r="Z45" i="1" s="1"/>
  <c r="Y16" i="2"/>
  <c r="Y46" i="2" l="1"/>
  <c r="Y42" i="2"/>
  <c r="Y41" i="2"/>
  <c r="Y27" i="2"/>
  <c r="Y36" i="2"/>
  <c r="Y35" i="2"/>
  <c r="Y26" i="2"/>
  <c r="Y25" i="2"/>
  <c r="Y34" i="2"/>
  <c r="Y33" i="2"/>
  <c r="Y32" i="2"/>
  <c r="Y24" i="2"/>
  <c r="Y23" i="2"/>
  <c r="Y31" i="2"/>
  <c r="Y30" i="2"/>
  <c r="Y38" i="2" s="1"/>
  <c r="Y40" i="2"/>
  <c r="Y21" i="2"/>
  <c r="Y20" i="2"/>
  <c r="Y19" i="2"/>
  <c r="Y18" i="2"/>
  <c r="Y17" i="2"/>
  <c r="Y15" i="2"/>
  <c r="Y28" i="2" s="1"/>
  <c r="Y43" i="1"/>
  <c r="Y37" i="1"/>
  <c r="Y40" i="1" s="1"/>
  <c r="Y34" i="1"/>
  <c r="Y32" i="1"/>
  <c r="Y30" i="1"/>
  <c r="Y18" i="1"/>
  <c r="Y27" i="1"/>
  <c r="Y26" i="1"/>
  <c r="Y25" i="1"/>
  <c r="Y24" i="1"/>
  <c r="Y23" i="1"/>
  <c r="Y22" i="1"/>
  <c r="Y21" i="1"/>
  <c r="Y20" i="1"/>
  <c r="Y28" i="1" s="1"/>
  <c r="Y17" i="1"/>
  <c r="Y15" i="1"/>
  <c r="Y16" i="1"/>
  <c r="Y35" i="1" l="1"/>
  <c r="Y41" i="1" s="1"/>
  <c r="Y45" i="1" s="1"/>
  <c r="Y44" i="2"/>
  <c r="Y45" i="2"/>
  <c r="Y48" i="2" s="1"/>
  <c r="X46" i="2"/>
  <c r="X43" i="2"/>
  <c r="X42" i="2"/>
  <c r="X41" i="2"/>
  <c r="X40" i="2"/>
  <c r="X36" i="2"/>
  <c r="X35" i="2"/>
  <c r="X34" i="2"/>
  <c r="X33" i="2"/>
  <c r="X32" i="2"/>
  <c r="X31" i="2"/>
  <c r="X30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43" i="1"/>
  <c r="X38" i="1"/>
  <c r="X37" i="1"/>
  <c r="X40" i="1" s="1"/>
  <c r="X32" i="1"/>
  <c r="X30" i="1"/>
  <c r="X34" i="1" s="1"/>
  <c r="X27" i="1"/>
  <c r="X26" i="1"/>
  <c r="X25" i="1"/>
  <c r="X24" i="1"/>
  <c r="X22" i="1"/>
  <c r="X21" i="1"/>
  <c r="X20" i="1"/>
  <c r="X28" i="1"/>
  <c r="X17" i="1"/>
  <c r="X16" i="1"/>
  <c r="X18" i="1" s="1"/>
  <c r="V15" i="1"/>
  <c r="X35" i="1" l="1"/>
  <c r="X41" i="1" s="1"/>
  <c r="X45" i="1" s="1"/>
  <c r="X44" i="2"/>
  <c r="X38" i="2"/>
  <c r="X28" i="2"/>
  <c r="X45" i="2" s="1"/>
  <c r="W46" i="2"/>
  <c r="W43" i="2"/>
  <c r="W42" i="2"/>
  <c r="W40" i="2"/>
  <c r="W44" i="2" s="1"/>
  <c r="W36" i="2"/>
  <c r="W35" i="2"/>
  <c r="W34" i="2"/>
  <c r="W33" i="2"/>
  <c r="W38" i="2" s="1"/>
  <c r="W32" i="2"/>
  <c r="W31" i="2"/>
  <c r="W30" i="2"/>
  <c r="W27" i="2"/>
  <c r="W26" i="2"/>
  <c r="W25" i="2"/>
  <c r="W24" i="2"/>
  <c r="W23" i="2"/>
  <c r="W21" i="2"/>
  <c r="W20" i="2"/>
  <c r="W19" i="2"/>
  <c r="W18" i="2"/>
  <c r="W17" i="2"/>
  <c r="W16" i="2"/>
  <c r="W15" i="2"/>
  <c r="W41" i="2"/>
  <c r="W43" i="1"/>
  <c r="W38" i="1"/>
  <c r="W37" i="1"/>
  <c r="W32" i="1"/>
  <c r="W30" i="1"/>
  <c r="W27" i="1"/>
  <c r="W26" i="1"/>
  <c r="W25" i="1"/>
  <c r="W24" i="1"/>
  <c r="W23" i="1"/>
  <c r="W22" i="1"/>
  <c r="W21" i="1"/>
  <c r="W17" i="1"/>
  <c r="W16" i="1"/>
  <c r="W15" i="1"/>
  <c r="W18" i="1" s="1"/>
  <c r="W40" i="1"/>
  <c r="W20" i="1"/>
  <c r="W34" i="1" l="1"/>
  <c r="X48" i="2"/>
  <c r="W28" i="2"/>
  <c r="W45" i="2" s="1"/>
  <c r="W48" i="2" s="1"/>
  <c r="W28" i="1"/>
  <c r="W35" i="1"/>
  <c r="W41" i="1" s="1"/>
  <c r="W45" i="1" s="1"/>
  <c r="V46" i="2"/>
  <c r="V43" i="2"/>
  <c r="V41" i="2"/>
  <c r="V40" i="2"/>
  <c r="V36" i="2"/>
  <c r="V35" i="2"/>
  <c r="V34" i="2"/>
  <c r="V33" i="2"/>
  <c r="V32" i="2"/>
  <c r="V31" i="2"/>
  <c r="V30" i="2"/>
  <c r="V27" i="2"/>
  <c r="V26" i="2"/>
  <c r="V25" i="2"/>
  <c r="V24" i="2"/>
  <c r="V23" i="2"/>
  <c r="V21" i="2"/>
  <c r="V20" i="2"/>
  <c r="V19" i="2"/>
  <c r="V18" i="2"/>
  <c r="V17" i="2"/>
  <c r="V16" i="2"/>
  <c r="V15" i="2"/>
  <c r="V44" i="2" l="1"/>
  <c r="V38" i="2"/>
  <c r="V28" i="2"/>
  <c r="V43" i="1"/>
  <c r="V38" i="1"/>
  <c r="V37" i="1"/>
  <c r="V40" i="1" s="1"/>
  <c r="V32" i="1"/>
  <c r="V30" i="1"/>
  <c r="V27" i="1"/>
  <c r="V26" i="1"/>
  <c r="V25" i="1"/>
  <c r="V24" i="1"/>
  <c r="V23" i="1"/>
  <c r="V22" i="1"/>
  <c r="V21" i="1"/>
  <c r="V20" i="1"/>
  <c r="V17" i="1"/>
  <c r="V16" i="1"/>
  <c r="V34" i="1"/>
  <c r="V45" i="2" l="1"/>
  <c r="V48" i="2" s="1"/>
  <c r="V28" i="1"/>
  <c r="V18" i="1"/>
  <c r="U46" i="2"/>
  <c r="T44" i="2"/>
  <c r="T38" i="2"/>
  <c r="V35" i="1" l="1"/>
  <c r="V41" i="1" s="1"/>
  <c r="V45" i="1" s="1"/>
  <c r="T25" i="2"/>
  <c r="T21" i="2"/>
  <c r="T19" i="2"/>
  <c r="T18" i="2"/>
  <c r="T28" i="2" s="1"/>
  <c r="T45" i="2" s="1"/>
  <c r="T48" i="2" s="1"/>
  <c r="U43" i="1" l="1"/>
  <c r="T40" i="1"/>
  <c r="U38" i="1"/>
  <c r="U40" i="1" s="1"/>
  <c r="U34" i="1"/>
  <c r="T34" i="1"/>
  <c r="U32" i="1"/>
  <c r="U31" i="1"/>
  <c r="U30" i="1"/>
  <c r="U27" i="1"/>
  <c r="U26" i="1"/>
  <c r="U25" i="1"/>
  <c r="U24" i="1"/>
  <c r="U23" i="1"/>
  <c r="T23" i="1"/>
  <c r="T28" i="1" s="1"/>
  <c r="U22" i="1"/>
  <c r="U28" i="1" s="1"/>
  <c r="U21" i="1"/>
  <c r="U20" i="1"/>
  <c r="U17" i="1"/>
  <c r="U16" i="1"/>
  <c r="T16" i="1"/>
  <c r="T18" i="1" s="1"/>
  <c r="T35" i="1" s="1"/>
  <c r="T41" i="1" s="1"/>
  <c r="T45" i="1" s="1"/>
  <c r="U15" i="1"/>
  <c r="U18" i="1" s="1"/>
  <c r="U35" i="1" s="1"/>
  <c r="U41" i="1" s="1"/>
  <c r="U45" i="1" s="1"/>
  <c r="U43" i="2" l="1"/>
  <c r="U41" i="2"/>
  <c r="U40" i="2"/>
  <c r="U44" i="2" s="1"/>
  <c r="U36" i="2"/>
  <c r="U35" i="2"/>
  <c r="U34" i="2"/>
  <c r="U33" i="2"/>
  <c r="U32" i="2"/>
  <c r="U31" i="2"/>
  <c r="U30" i="2"/>
  <c r="U38" i="2" s="1"/>
  <c r="U27" i="2"/>
  <c r="U26" i="2"/>
  <c r="U25" i="2"/>
  <c r="U24" i="2"/>
  <c r="U23" i="2"/>
  <c r="U21" i="2"/>
  <c r="U20" i="2"/>
  <c r="U19" i="2"/>
  <c r="U18" i="2"/>
  <c r="U17" i="2"/>
  <c r="U16" i="2"/>
  <c r="U15" i="2"/>
  <c r="U28" i="2" l="1"/>
  <c r="D7" i="1"/>
  <c r="D8" i="1" l="1"/>
  <c r="U45" i="2"/>
  <c r="U48" i="2" s="1"/>
</calcChain>
</file>

<file path=xl/sharedStrings.xml><?xml version="1.0" encoding="utf-8"?>
<sst xmlns="http://schemas.openxmlformats.org/spreadsheetml/2006/main" count="306" uniqueCount="210">
  <si>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</si>
  <si>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</si>
  <si>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</si>
  <si>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</si>
  <si>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</si>
  <si>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</si>
  <si>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</si>
  <si>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</si>
  <si>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</si>
  <si>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</si>
  <si>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</si>
  <si>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</si>
  <si>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</si>
  <si>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</si>
  <si>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</si>
  <si>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</si>
  <si>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</si>
  <si>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</si>
  <si>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</si>
  <si>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</si>
  <si>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</si>
  <si>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</si>
  <si>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</si>
  <si>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SM</t>
  </si>
  <si>
    <t>Tax revenues</t>
  </si>
  <si>
    <t>Titolo 1 - Entrate tributarie</t>
  </si>
  <si>
    <t>Direct taxes</t>
  </si>
  <si>
    <t>Imposte dirette</t>
  </si>
  <si>
    <t>Indirect taxes</t>
  </si>
  <si>
    <t>Tasse e imposte indirette</t>
  </si>
  <si>
    <t>Import duties</t>
  </si>
  <si>
    <t>Imposte diverse sulle merci importate</t>
  </si>
  <si>
    <t>Totale Titolo 1</t>
  </si>
  <si>
    <t>Non-tax revenues</t>
  </si>
  <si>
    <t>Titolo 2 - Entrate Extratributarie</t>
  </si>
  <si>
    <t>Fixed annual amount granted by Italy</t>
  </si>
  <si>
    <t>Canone doganale</t>
  </si>
  <si>
    <t>Income from monopoly and consumers</t>
  </si>
  <si>
    <t>Proventi da generi di monopolio e beni mobili di consumo</t>
  </si>
  <si>
    <t>Special income</t>
  </si>
  <si>
    <t>Proventi speciali</t>
  </si>
  <si>
    <t>Income from public services</t>
  </si>
  <si>
    <t>Proventi di altri servizi pubblici</t>
  </si>
  <si>
    <t>Income from state properties</t>
  </si>
  <si>
    <t>Proventi dei beni dello Stato</t>
  </si>
  <si>
    <t>Income from activities</t>
  </si>
  <si>
    <t>Proventi di attività</t>
  </si>
  <si>
    <t>Interest income</t>
  </si>
  <si>
    <t>Interessi attivi su crediti dello Stato e altre attività</t>
  </si>
  <si>
    <t>Reimbursement</t>
  </si>
  <si>
    <t>Rimborsi e recuperi</t>
  </si>
  <si>
    <t>Totale Titolo 2</t>
  </si>
  <si>
    <t>Sale, depreciation of capital assets and loan reimbursements</t>
  </si>
  <si>
    <t>Titolo 3 - Alienazione, ammortamento di beni patrimoniali e rimborsi di crediti</t>
  </si>
  <si>
    <t>Real estate sale</t>
  </si>
  <si>
    <t>Vendita beni immobili</t>
  </si>
  <si>
    <t>Financing reimbursement</t>
  </si>
  <si>
    <t>Rimborso Finanziamenti</t>
  </si>
  <si>
    <t>Movable asset sale</t>
  </si>
  <si>
    <t>Vendita beni mobili</t>
  </si>
  <si>
    <t>Operating surplus from previous yars</t>
  </si>
  <si>
    <t>Avanzo di Amministrazione esercizi precedenti</t>
  </si>
  <si>
    <t>Totale Titolo 3</t>
  </si>
  <si>
    <t>Totale Titoli 1, 2, 3</t>
  </si>
  <si>
    <t>Revenues from loan taking</t>
  </si>
  <si>
    <t>Titolo 4 - Entrate derivanti da accensioni di mutui</t>
  </si>
  <si>
    <t>State bonds issuance</t>
  </si>
  <si>
    <t>Emissione Titoli Pubblici</t>
  </si>
  <si>
    <t>New loans</t>
  </si>
  <si>
    <t>Assunzione di prestiti</t>
  </si>
  <si>
    <t>Loans taken balace the budget</t>
  </si>
  <si>
    <t>Accensione di mutui</t>
  </si>
  <si>
    <t>Totale Titolo 4</t>
  </si>
  <si>
    <t>Totale Titoli 1, 2, 3, 4</t>
  </si>
  <si>
    <t>Memorandum items</t>
  </si>
  <si>
    <t>Titolo 5 - Partite di Giro</t>
  </si>
  <si>
    <t xml:space="preserve">Totale Generale </t>
  </si>
  <si>
    <t>Current expenditures</t>
  </si>
  <si>
    <t>Titolo 1 - Spese Correnti</t>
  </si>
  <si>
    <t>Remuneration of institutional bodies</t>
  </si>
  <si>
    <t>Oneri retributivi degli organi istituzionali</t>
  </si>
  <si>
    <t>Wages and salaries</t>
  </si>
  <si>
    <t>Personale in attività</t>
  </si>
  <si>
    <t>Old regime pensions</t>
  </si>
  <si>
    <t>Personale in congedo</t>
  </si>
  <si>
    <t>Purchases of goods and services</t>
  </si>
  <si>
    <t>Acquisto beni e servizi</t>
  </si>
  <si>
    <t>Current transfers to private sector</t>
  </si>
  <si>
    <t>Trasferimenti correnti</t>
  </si>
  <si>
    <t>Interest expenses</t>
  </si>
  <si>
    <t>Interessi passivi</t>
  </si>
  <si>
    <t>Reimbursement of tax advances</t>
  </si>
  <si>
    <t>Poste compensative delle entrate</t>
  </si>
  <si>
    <t>Contingency found</t>
  </si>
  <si>
    <t>Somme non attribuibili</t>
  </si>
  <si>
    <t>Wages and salaries found</t>
  </si>
  <si>
    <t>Oneri retributivi</t>
  </si>
  <si>
    <t>Current transfers to overall public sector</t>
  </si>
  <si>
    <t>Trasferimenti correnti settore pubblico allargato</t>
  </si>
  <si>
    <t>Monopoly goods</t>
  </si>
  <si>
    <t>Generi di monopolio</t>
  </si>
  <si>
    <t>Consumption goods for sale</t>
  </si>
  <si>
    <t>Beni mobili di consumo destinati alla vendita</t>
  </si>
  <si>
    <t>Credit risks</t>
  </si>
  <si>
    <t>Rischi su crediti</t>
  </si>
  <si>
    <t>Capital expenditures</t>
  </si>
  <si>
    <t>Titolo 2 - Spese in Conto capitale</t>
  </si>
  <si>
    <t xml:space="preserve">Immovables </t>
  </si>
  <si>
    <t>Beni e opere immobiliari</t>
  </si>
  <si>
    <t>Movables</t>
  </si>
  <si>
    <t>Beni e opere mobili</t>
  </si>
  <si>
    <t>Capital transfers to oveall public sector</t>
  </si>
  <si>
    <t>Trasferimenti conto capitale settore pubblico allargato</t>
  </si>
  <si>
    <t>Capital transfers to private sectors</t>
  </si>
  <si>
    <t>Trasferimenti conto capitale</t>
  </si>
  <si>
    <t>Transfers for developments of productive sectors</t>
  </si>
  <si>
    <t>Trasferimenti per lo sviluppo dei settori produttivi</t>
  </si>
  <si>
    <t>Services for investments in real estate</t>
  </si>
  <si>
    <t>Servizi per investimenti immobiliari</t>
  </si>
  <si>
    <t>Trasferts to private reale estate sector</t>
  </si>
  <si>
    <t>Trasferimenti per il settore immobiliare privato</t>
  </si>
  <si>
    <t>Accantonamenti (**)</t>
  </si>
  <si>
    <t>Loans repayments</t>
  </si>
  <si>
    <t>Titolo 3 - Rimborso di prestiti</t>
  </si>
  <si>
    <t>Loan depreciation</t>
  </si>
  <si>
    <t>Ammortamento mutui</t>
  </si>
  <si>
    <t>Debt and advance depreciation</t>
  </si>
  <si>
    <t>Ammortamento debiti ed anticipazioni</t>
  </si>
  <si>
    <t>State Bond repayments</t>
  </si>
  <si>
    <t>Rimborso Titoli Pubblici</t>
  </si>
  <si>
    <t>Provisions</t>
  </si>
  <si>
    <t>Titolo 4 - Partite di giro</t>
  </si>
  <si>
    <t>CGO</t>
  </si>
  <si>
    <t>Descrizione</t>
  </si>
  <si>
    <t>Development of State Revenues</t>
  </si>
  <si>
    <t xml:space="preserve">Evoluzione dell'Entrata dello Stato </t>
  </si>
  <si>
    <t>Total Tax revenues</t>
  </si>
  <si>
    <t>Total Non-tax revenues</t>
  </si>
  <si>
    <t>Total Sale, depreciation of capital assets and loan reimbursements</t>
  </si>
  <si>
    <t>Total Revenues from loan taking</t>
  </si>
  <si>
    <t>Total Revenues</t>
  </si>
  <si>
    <t>Development of State Expenditures</t>
  </si>
  <si>
    <t>Evoluzione del Bilancio dello Stato - Parte Uscita</t>
  </si>
  <si>
    <t>Total current expenditures</t>
  </si>
  <si>
    <t>Total capital expenditures</t>
  </si>
  <si>
    <t>Total Loans repayments</t>
  </si>
  <si>
    <t>Scale = Million</t>
  </si>
  <si>
    <t>Frequency = Annual</t>
  </si>
  <si>
    <t>Total (1, 2, 3)</t>
  </si>
  <si>
    <t>Total (1, 2, 3, 4)</t>
  </si>
  <si>
    <r>
      <rPr>
        <sz val="10"/>
        <color indexed="8"/>
        <rFont val="Calibri"/>
        <family val="2"/>
      </rPr>
      <t>–</t>
    </r>
    <r>
      <rPr>
        <sz val="10"/>
        <color indexed="8"/>
        <rFont val="Times New Roman"/>
        <family val="1"/>
      </rPr>
      <t xml:space="preserve"> – – </t>
    </r>
  </si>
  <si>
    <t xml:space="preserve">– – – </t>
  </si>
  <si>
    <t>Total</t>
  </si>
  <si>
    <t>SMR_GCEGIBC</t>
  </si>
  <si>
    <t>SMR_GCEGWC</t>
  </si>
  <si>
    <t>SMR_GCEGEP</t>
  </si>
  <si>
    <t>SMR_GCEGO</t>
  </si>
  <si>
    <t>SMR_GCESTH</t>
  </si>
  <si>
    <t>SMR_GCEI</t>
  </si>
  <si>
    <t>SMR_GCECTAR</t>
  </si>
  <si>
    <t>SMR_GCECCF</t>
  </si>
  <si>
    <t>SMR_GCECWSF</t>
  </si>
  <si>
    <t>SMR_GCESTT</t>
  </si>
  <si>
    <t>SMR_GCECMG</t>
  </si>
  <si>
    <t>SMR_GCECCGS</t>
  </si>
  <si>
    <t>SMR_GCECCR</t>
  </si>
  <si>
    <t>SMR_GCEC</t>
  </si>
  <si>
    <t>SMR_GCEKL</t>
  </si>
  <si>
    <t>SMR_GCEKA</t>
  </si>
  <si>
    <t>SMR_GCEKTDG</t>
  </si>
  <si>
    <t>SMR_GCEKTDO</t>
  </si>
  <si>
    <t>SMR_GCEKTPS</t>
  </si>
  <si>
    <t>SMR_GCEKTRS</t>
  </si>
  <si>
    <t>SMR_GCEKTES</t>
  </si>
  <si>
    <t>SMR_GCEKP</t>
  </si>
  <si>
    <t>SMR_GCEK</t>
  </si>
  <si>
    <t>SMR_GCELLD</t>
  </si>
  <si>
    <t>SMR_GCELDAD</t>
  </si>
  <si>
    <t>SMR_GCELSB</t>
  </si>
  <si>
    <t>SMR_GCELP</t>
  </si>
  <si>
    <t>SMR_GCEL</t>
  </si>
  <si>
    <t>SMR_GCE</t>
  </si>
  <si>
    <t>SMR_GCEMEM</t>
  </si>
  <si>
    <t>SMR_GCENL</t>
  </si>
  <si>
    <t>SMR_GCRTDT_EUR</t>
  </si>
  <si>
    <t>SMR_GCRTIN_EUR</t>
  </si>
  <si>
    <t>SMR_GCRGRTTM_EUR</t>
  </si>
  <si>
    <t>SMR_GCR_EUR</t>
  </si>
  <si>
    <t>SMR_GCRGI_EUR</t>
  </si>
  <si>
    <t>SMR_GCRGM_EUR</t>
  </si>
  <si>
    <t>SMR_GCRGINS_EUR</t>
  </si>
  <si>
    <t>SMR_GCRGINPS_EUR</t>
  </si>
  <si>
    <t>SMR_GCRGINSP_EUR</t>
  </si>
  <si>
    <t>SMR_GCRGINA_EUR</t>
  </si>
  <si>
    <t>SMR_GCROPI_EUR</t>
  </si>
  <si>
    <t>SMR_GCRGRB_EUR</t>
  </si>
  <si>
    <t>SMR_GCRGRN_EUR</t>
  </si>
  <si>
    <t>SMR_GCRGRKL_EUR</t>
  </si>
  <si>
    <t>SMR_GCRGRKF_EUR</t>
  </si>
  <si>
    <t>SMR_GCRGRKM_EUR</t>
  </si>
  <si>
    <t>SMR_GCRGRKOP_EUR</t>
  </si>
  <si>
    <t>SMR_GCRGRK_EUR</t>
  </si>
  <si>
    <t>SMR_GCRGR_EUR</t>
  </si>
  <si>
    <t>SMR_GCRGLTSB_EUR</t>
  </si>
  <si>
    <t>SMR_GCRGLTNB_EUR</t>
  </si>
  <si>
    <t>SMR_GCRGLTLB_EUR</t>
  </si>
  <si>
    <t>SMR_GCRGLT_EUR</t>
  </si>
  <si>
    <t>SMR_GCRGRL_EUR</t>
  </si>
  <si>
    <t>SMR_GCRMEM_EUR</t>
  </si>
  <si>
    <t>SMR_GCRGRLM_EUR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</si>
</sst>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-[$€]\ * #,##0.00_-;\-[$€]\ * #,##0.00_-;_-[$€]\ * \-??_-;_-@_-"/>
    <numFmt numFmtId="166" formatCode="_-[$€]\ * #,##0.00_-;\-[$€]\ * #,##0.00_-;_-[$€]\ * &quot;-&quot;??_-;_-@_-"/>
    <numFmt numFmtId="167" formatCode="#,##0.000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color indexed="8"/>
      <name val="Calibri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3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1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14" fillId="0" borderId="0" applyNumberFormat="0" applyFill="0" applyBorder="0" applyAlignment="0" applyProtection="0"/>
    <xf numFmtId="165" fontId="19" fillId="0" borderId="0"/>
    <xf numFmtId="165" fontId="19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6" fillId="3" borderId="0" xfId="0" applyFont="1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7" fillId="2" borderId="0" xfId="0" applyFont="1" applyFill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5" fillId="4" borderId="4" xfId="0" applyFont="1" applyFill="1" applyBorder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4" fillId="4" borderId="0" xfId="0" applyFont="1" applyFill="1"/>
    <xf numFmtId="0" fontId="10" fillId="0" borderId="0" xfId="0" applyFont="1"/>
    <xf numFmtId="0" fontId="9" fillId="6" borderId="0" xfId="0" applyFont="1" applyFill="1" applyAlignment="1" applyProtection="1">
      <alignment horizontal="center" vertical="top"/>
      <protection locked="0"/>
    </xf>
    <xf numFmtId="0" fontId="13" fillId="5" borderId="0" xfId="0" applyFont="1" applyFill="1" applyAlignment="1">
      <alignment wrapText="1"/>
    </xf>
    <xf numFmtId="0" fontId="15" fillId="0" borderId="0" xfId="10" applyFont="1" applyFill="1" applyBorder="1" applyAlignment="1">
      <alignment horizontal="center"/>
    </xf>
    <xf numFmtId="0" fontId="18" fillId="0" borderId="0" xfId="0" applyFont="1"/>
    <xf numFmtId="0" fontId="20" fillId="0" borderId="0" xfId="3" applyFont="1" applyAlignment="1">
      <alignment horizontal="left" vertical="center"/>
    </xf>
    <xf numFmtId="167" fontId="18" fillId="0" borderId="0" xfId="0" applyNumberFormat="1" applyFont="1"/>
    <xf numFmtId="167" fontId="18" fillId="0" borderId="0" xfId="11" applyNumberFormat="1" applyFont="1"/>
    <xf numFmtId="167" fontId="18" fillId="0" borderId="0" xfId="12" applyNumberFormat="1" applyFont="1"/>
    <xf numFmtId="167" fontId="20" fillId="0" borderId="0" xfId="11" applyNumberFormat="1" applyFont="1"/>
    <xf numFmtId="167" fontId="20" fillId="0" borderId="0" xfId="12" applyNumberFormat="1" applyFont="1"/>
    <xf numFmtId="0" fontId="20" fillId="0" borderId="0" xfId="3" applyFont="1" applyAlignment="1">
      <alignment horizontal="left" vertical="center" wrapText="1"/>
    </xf>
    <xf numFmtId="0" fontId="18" fillId="0" borderId="0" xfId="0" applyFont="1" applyProtection="1">
      <protection locked="0"/>
    </xf>
    <xf numFmtId="0" fontId="20" fillId="0" borderId="0" xfId="3" applyFont="1" applyAlignment="1" applyProtection="1">
      <alignment vertical="center"/>
      <protection locked="0"/>
    </xf>
    <xf numFmtId="167" fontId="18" fillId="0" borderId="0" xfId="0" applyNumberFormat="1" applyFont="1" applyProtection="1">
      <protection locked="0"/>
    </xf>
    <xf numFmtId="0" fontId="18" fillId="0" borderId="0" xfId="3" applyFont="1" applyAlignment="1" applyProtection="1">
      <alignment horizontal="left" vertical="center"/>
      <protection locked="0"/>
    </xf>
    <xf numFmtId="167" fontId="18" fillId="0" borderId="0" xfId="11" applyNumberFormat="1" applyFont="1" applyProtection="1">
      <protection locked="0"/>
    </xf>
    <xf numFmtId="167" fontId="18" fillId="0" borderId="0" xfId="12" applyNumberFormat="1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3" applyFont="1" applyAlignment="1" applyProtection="1">
      <alignment horizontal="right" vertical="center"/>
      <protection locked="0"/>
    </xf>
    <xf numFmtId="167" fontId="16" fillId="0" borderId="0" xfId="0" applyNumberFormat="1" applyFont="1" applyProtection="1">
      <protection locked="0"/>
    </xf>
    <xf numFmtId="167" fontId="16" fillId="0" borderId="0" xfId="11" applyNumberFormat="1" applyFont="1" applyProtection="1">
      <protection locked="0"/>
    </xf>
    <xf numFmtId="167" fontId="20" fillId="0" borderId="0" xfId="12" applyNumberFormat="1" applyFont="1" applyProtection="1">
      <protection locked="0"/>
    </xf>
    <xf numFmtId="167" fontId="16" fillId="0" borderId="0" xfId="12" applyNumberFormat="1" applyFont="1" applyProtection="1">
      <protection locked="0"/>
    </xf>
    <xf numFmtId="0" fontId="21" fillId="0" borderId="0" xfId="3" applyFont="1" applyAlignment="1" applyProtection="1">
      <alignment horizontal="right" vertical="center"/>
      <protection locked="0"/>
    </xf>
    <xf numFmtId="167" fontId="17" fillId="0" borderId="0" xfId="0" applyNumberFormat="1" applyFont="1" applyProtection="1">
      <protection locked="0"/>
    </xf>
    <xf numFmtId="167" fontId="17" fillId="0" borderId="0" xfId="11" applyNumberFormat="1" applyFont="1" applyProtection="1">
      <protection locked="0"/>
    </xf>
    <xf numFmtId="167" fontId="20" fillId="0" borderId="0" xfId="0" applyNumberFormat="1" applyFont="1" applyProtection="1">
      <protection locked="0"/>
    </xf>
    <xf numFmtId="167" fontId="20" fillId="0" borderId="0" xfId="11" applyNumberFormat="1" applyFont="1" applyProtection="1">
      <protection locked="0"/>
    </xf>
    <xf numFmtId="0" fontId="20" fillId="0" borderId="0" xfId="3" applyFont="1" applyAlignment="1" applyProtection="1">
      <alignment horizontal="left" vertical="center"/>
      <protection locked="0"/>
    </xf>
    <xf numFmtId="0" fontId="18" fillId="0" borderId="0" xfId="0" applyFont="1" applyAlignment="1">
      <alignment horizontal="left" indent="1"/>
    </xf>
    <xf numFmtId="0" fontId="20" fillId="0" borderId="0" xfId="0" applyFont="1"/>
    <xf numFmtId="0" fontId="21" fillId="0" borderId="0" xfId="3" applyFont="1" applyAlignment="1">
      <alignment horizontal="left" vertical="center"/>
    </xf>
    <xf numFmtId="0" fontId="18" fillId="0" borderId="0" xfId="3" applyFont="1" applyAlignment="1">
      <alignment horizontal="left" vertical="center" indent="1"/>
    </xf>
    <xf numFmtId="0" fontId="20" fillId="0" borderId="0" xfId="3" applyFont="1" applyAlignment="1">
      <alignment horizontal="left" vertical="center" indent="1"/>
    </xf>
    <xf numFmtId="0" fontId="18" fillId="0" borderId="0" xfId="3" applyFont="1" applyAlignment="1">
      <alignment horizontal="left" vertical="center" wrapText="1" indent="1"/>
    </xf>
    <xf numFmtId="0" fontId="18" fillId="0" borderId="0" xfId="0" applyFont="1" applyAlignment="1" applyProtection="1">
      <alignment horizontal="left" indent="1"/>
      <protection locked="0"/>
    </xf>
    <xf numFmtId="0" fontId="20" fillId="0" borderId="0" xfId="0" applyFont="1" applyAlignment="1" applyProtection="1">
      <alignment horizontal="left" indent="1"/>
      <protection locked="0"/>
    </xf>
    <xf numFmtId="0" fontId="23" fillId="0" borderId="0" xfId="0" applyFont="1" applyAlignment="1">
      <alignment horizontal="left" indent="1"/>
    </xf>
    <xf numFmtId="0" fontId="10" fillId="7" borderId="0" xfId="0" applyFont="1" applyFill="1"/>
    <xf numFmtId="166" fontId="18" fillId="7" borderId="0" xfId="0" applyNumberFormat="1" applyFont="1" applyFill="1" applyAlignment="1" applyProtection="1">
      <alignment horizontal="center"/>
      <protection locked="0"/>
    </xf>
    <xf numFmtId="166" fontId="18" fillId="7" borderId="0" xfId="0" applyNumberFormat="1" applyFont="1" applyFill="1" applyProtection="1">
      <protection locked="0"/>
    </xf>
    <xf numFmtId="166" fontId="18" fillId="7" borderId="0" xfId="0" applyNumberFormat="1" applyFont="1" applyFill="1" applyAlignment="1">
      <alignment horizontal="center"/>
    </xf>
    <xf numFmtId="0" fontId="10" fillId="8" borderId="0" xfId="0" applyFont="1" applyFill="1"/>
    <xf numFmtId="0" fontId="9" fillId="0" borderId="0" xfId="0" applyFont="1" applyAlignment="1" applyProtection="1">
      <alignment horizontal="center" vertical="top"/>
      <protection locked="0"/>
    </xf>
    <xf numFmtId="166" fontId="18" fillId="0" borderId="0" xfId="0" applyNumberFormat="1" applyFont="1" applyAlignment="1">
      <alignment horizontal="center"/>
    </xf>
    <xf numFmtId="2" fontId="10" fillId="0" borderId="0" xfId="0" applyNumberFormat="1" applyFont="1"/>
    <xf numFmtId="166" fontId="18" fillId="0" borderId="0" xfId="0" applyNumberFormat="1" applyFont="1" applyProtection="1">
      <protection locked="0"/>
    </xf>
    <xf numFmtId="0" fontId="0" fillId="0" borderId="0" xfId="0" applyAlignment="1">
      <alignment horizontal="center"/>
    </xf>
    <xf numFmtId="2" fontId="0" fillId="0" borderId="0" xfId="0" applyNumberFormat="1"/>
    <xf numFmtId="167" fontId="16" fillId="0" borderId="0" xfId="12" applyNumberFormat="1" applyFont="1"/>
    <xf numFmtId="167" fontId="0" fillId="3" borderId="0" xfId="0" applyNumberFormat="1" applyFill="1"/>
    <xf numFmtId="167" fontId="0" fillId="0" borderId="0" xfId="0" applyNumberFormat="1"/>
    <xf numFmtId="167" fontId="10" fillId="0" borderId="0" xfId="0" applyNumberFormat="1" applyFont="1"/>
    <xf numFmtId="167" fontId="24" fillId="0" borderId="0" xfId="0" applyNumberFormat="1" applyFont="1"/>
    <xf numFmtId="0" fontId="0" fillId="9" borderId="0" xfId="0" applyFill="1" applyAlignment="1">
      <alignment horizontal="center"/>
    </xf>
    <xf numFmtId="0" fontId="0" fillId="9" borderId="0" xfId="0" applyFill="1"/>
    <xf numFmtId="0" fontId="10" fillId="9" borderId="0" xfId="0" applyFont="1" applyFill="1"/>
    <xf numFmtId="167" fontId="10" fillId="9" borderId="0" xfId="0" applyNumberFormat="1" applyFont="1" applyFill="1"/>
    <xf numFmtId="167" fontId="20" fillId="9" borderId="0" xfId="12" applyNumberFormat="1" applyFont="1" applyFill="1"/>
  </cellXfs>
  <cellStyles count="13">
    <cellStyle name="Collegamento ipertestuale" xfId="10" builtinId="8"/>
    <cellStyle name="Comma [0] 2" xfId="4"/>
    <cellStyle name="Heading 1 2 18" xfId="11"/>
    <cellStyle name="Heading 1 2 18 2" xfId="12"/>
    <cellStyle name="Normal 2" xfId="3"/>
    <cellStyle name="Normal 2 93" xfId="8"/>
    <cellStyle name="Normal 3" xfId="5"/>
    <cellStyle name="Normal 3 102" xfId="9"/>
    <cellStyle name="Normal 4" xfId="1"/>
    <cellStyle name="Normal 4 2 3 2" xfId="6"/>
    <cellStyle name="Normal 5" xfId="2"/>
    <cellStyle name="Normal 89" xfId="7"/>
    <cellStyle name="Normale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85725</xdr:colOff>
      <xdr:row>47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:a16="http://schemas.microsoft.com/office/drawing/2014/main" xmlns="" id="{C221B7AF-54EB-4613-A227-D390FFD4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85725</xdr:colOff>
      <xdr:row>47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:a16="http://schemas.microsoft.com/office/drawing/2014/main" xmlns="" id="{80BD18F1-7E30-46AE-B4AA-12C3152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1268DDFC-28CB-457E-9EEF-5AC84CB6EDD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5" name="Text Box 1270">
          <a:extLst>
            <a:ext uri="{FF2B5EF4-FFF2-40B4-BE49-F238E27FC236}">
              <a16:creationId xmlns:a16="http://schemas.microsoft.com/office/drawing/2014/main" xmlns="" id="{45ECB9E7-0095-4C15-9CD0-4FF2392170EA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6" name="Text Box 1271">
          <a:extLst>
            <a:ext uri="{FF2B5EF4-FFF2-40B4-BE49-F238E27FC236}">
              <a16:creationId xmlns:a16="http://schemas.microsoft.com/office/drawing/2014/main" xmlns="" id="{6C2783D8-80A4-4430-9695-5A6018B8BCC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7" name="Text Box 1273">
          <a:extLst>
            <a:ext uri="{FF2B5EF4-FFF2-40B4-BE49-F238E27FC236}">
              <a16:creationId xmlns:a16="http://schemas.microsoft.com/office/drawing/2014/main" xmlns="" id="{1EA9FE83-33C1-4DA6-AF93-7420FCD206F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8" name="Text Box 1274">
          <a:extLst>
            <a:ext uri="{FF2B5EF4-FFF2-40B4-BE49-F238E27FC236}">
              <a16:creationId xmlns:a16="http://schemas.microsoft.com/office/drawing/2014/main" xmlns="" id="{206A52EE-C3D0-40B8-B6F5-A0CA3497A16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9" name="Text Box 1275">
          <a:extLst>
            <a:ext uri="{FF2B5EF4-FFF2-40B4-BE49-F238E27FC236}">
              <a16:creationId xmlns:a16="http://schemas.microsoft.com/office/drawing/2014/main" xmlns="" id="{D51DF7DD-92CB-4404-BBDD-659A4EB8688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0" name="Text Box 1276">
          <a:extLst>
            <a:ext uri="{FF2B5EF4-FFF2-40B4-BE49-F238E27FC236}">
              <a16:creationId xmlns:a16="http://schemas.microsoft.com/office/drawing/2014/main" xmlns="" id="{1ABC440C-5C53-4BF6-B7CE-7478F66C126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1" name="Text Box 1277">
          <a:extLst>
            <a:ext uri="{FF2B5EF4-FFF2-40B4-BE49-F238E27FC236}">
              <a16:creationId xmlns:a16="http://schemas.microsoft.com/office/drawing/2014/main" xmlns="" id="{537C971E-955C-44DF-AAF1-DEEC99E6281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2" name="Text Box 1278">
          <a:extLst>
            <a:ext uri="{FF2B5EF4-FFF2-40B4-BE49-F238E27FC236}">
              <a16:creationId xmlns:a16="http://schemas.microsoft.com/office/drawing/2014/main" xmlns="" id="{379BB13E-A53F-4127-B97A-AC2F0B52B94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3" name="Text Box 1279">
          <a:extLst>
            <a:ext uri="{FF2B5EF4-FFF2-40B4-BE49-F238E27FC236}">
              <a16:creationId xmlns:a16="http://schemas.microsoft.com/office/drawing/2014/main" xmlns="" id="{F791C40B-927C-47D1-8B36-B16B2C0172A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4" name="Text Box 1280">
          <a:extLst>
            <a:ext uri="{FF2B5EF4-FFF2-40B4-BE49-F238E27FC236}">
              <a16:creationId xmlns:a16="http://schemas.microsoft.com/office/drawing/2014/main" xmlns="" id="{F3D006E1-E986-45BA-AAC9-28AE0E3F474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5" name="Text Box 1281">
          <a:extLst>
            <a:ext uri="{FF2B5EF4-FFF2-40B4-BE49-F238E27FC236}">
              <a16:creationId xmlns:a16="http://schemas.microsoft.com/office/drawing/2014/main" xmlns="" id="{B1B16E18-3397-42FE-AF5D-583464C58D3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6" name="Text Box 1282">
          <a:extLst>
            <a:ext uri="{FF2B5EF4-FFF2-40B4-BE49-F238E27FC236}">
              <a16:creationId xmlns:a16="http://schemas.microsoft.com/office/drawing/2014/main" xmlns="" id="{C0E5D1B1-1232-4539-B76F-6BC0A50E3929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7" name="Text Box 1283">
          <a:extLst>
            <a:ext uri="{FF2B5EF4-FFF2-40B4-BE49-F238E27FC236}">
              <a16:creationId xmlns:a16="http://schemas.microsoft.com/office/drawing/2014/main" xmlns="" id="{14E4EFF9-7DCF-42C5-B2CD-902FB74E56B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8" name="Text Box 1807">
          <a:extLst>
            <a:ext uri="{FF2B5EF4-FFF2-40B4-BE49-F238E27FC236}">
              <a16:creationId xmlns:a16="http://schemas.microsoft.com/office/drawing/2014/main" xmlns="" id="{AAF1606D-1EC6-4D5B-A506-AA993D0F795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9" name="Text Box 1808">
          <a:extLst>
            <a:ext uri="{FF2B5EF4-FFF2-40B4-BE49-F238E27FC236}">
              <a16:creationId xmlns:a16="http://schemas.microsoft.com/office/drawing/2014/main" xmlns="" id="{54EE0B09-07B3-49EB-BAD9-985BAA9FE19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0" name="Text Box 1809">
          <a:extLst>
            <a:ext uri="{FF2B5EF4-FFF2-40B4-BE49-F238E27FC236}">
              <a16:creationId xmlns:a16="http://schemas.microsoft.com/office/drawing/2014/main" xmlns="" id="{1780A2F9-718E-431E-AC98-B458420435D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1" name="Text Box 1810">
          <a:extLst>
            <a:ext uri="{FF2B5EF4-FFF2-40B4-BE49-F238E27FC236}">
              <a16:creationId xmlns:a16="http://schemas.microsoft.com/office/drawing/2014/main" xmlns="" id="{1A7CF204-BA7A-4429-96E1-FD5D5F04289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2" name="Text Box 1811">
          <a:extLst>
            <a:ext uri="{FF2B5EF4-FFF2-40B4-BE49-F238E27FC236}">
              <a16:creationId xmlns:a16="http://schemas.microsoft.com/office/drawing/2014/main" xmlns="" id="{341521D2-1FAB-4CFC-8846-3794920565D5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3" name="Text Box 1812">
          <a:extLst>
            <a:ext uri="{FF2B5EF4-FFF2-40B4-BE49-F238E27FC236}">
              <a16:creationId xmlns:a16="http://schemas.microsoft.com/office/drawing/2014/main" xmlns="" id="{2DF82555-5806-4325-BF55-8D510B5FB95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4" name="Text Box 1813">
          <a:extLst>
            <a:ext uri="{FF2B5EF4-FFF2-40B4-BE49-F238E27FC236}">
              <a16:creationId xmlns:a16="http://schemas.microsoft.com/office/drawing/2014/main" xmlns="" id="{3B6FAE4B-C3E5-4793-9458-1B2161BC0DA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5" name="Text Box 1814">
          <a:extLst>
            <a:ext uri="{FF2B5EF4-FFF2-40B4-BE49-F238E27FC236}">
              <a16:creationId xmlns:a16="http://schemas.microsoft.com/office/drawing/2014/main" xmlns="" id="{18514D37-3F9D-4988-B9AA-198CA7C173C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6" name="Text Box 1815">
          <a:extLst>
            <a:ext uri="{FF2B5EF4-FFF2-40B4-BE49-F238E27FC236}">
              <a16:creationId xmlns:a16="http://schemas.microsoft.com/office/drawing/2014/main" xmlns="" id="{959EDDC3-B404-4169-A9A3-70631DFA578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7" name="Text Box 1816">
          <a:extLst>
            <a:ext uri="{FF2B5EF4-FFF2-40B4-BE49-F238E27FC236}">
              <a16:creationId xmlns:a16="http://schemas.microsoft.com/office/drawing/2014/main" xmlns="" id="{3999664C-F2A8-4A9F-9F16-B3899ABC3F2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8" name="Text Box 1817">
          <a:extLst>
            <a:ext uri="{FF2B5EF4-FFF2-40B4-BE49-F238E27FC236}">
              <a16:creationId xmlns:a16="http://schemas.microsoft.com/office/drawing/2014/main" xmlns="" id="{6D6A4792-2909-4A1B-9141-E3A61F22EB1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9" name="Text Box 1818">
          <a:extLst>
            <a:ext uri="{FF2B5EF4-FFF2-40B4-BE49-F238E27FC236}">
              <a16:creationId xmlns:a16="http://schemas.microsoft.com/office/drawing/2014/main" xmlns="" id="{3D206C85-60D7-4C6B-BDBF-78299C4A2948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30" name="Text Box 1819">
          <a:extLst>
            <a:ext uri="{FF2B5EF4-FFF2-40B4-BE49-F238E27FC236}">
              <a16:creationId xmlns:a16="http://schemas.microsoft.com/office/drawing/2014/main" xmlns="" id="{D14DB2BF-ABFE-4A39-9D49-F229D1C223B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31" name="Text Box 1820">
          <a:extLst>
            <a:ext uri="{FF2B5EF4-FFF2-40B4-BE49-F238E27FC236}">
              <a16:creationId xmlns:a16="http://schemas.microsoft.com/office/drawing/2014/main" xmlns="" id="{59305043-8797-41BA-9663-86F1552B469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343E5AB6-C1E8-4240-90BC-D4DC1960130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3" name="Text Box 1270">
          <a:extLst>
            <a:ext uri="{FF2B5EF4-FFF2-40B4-BE49-F238E27FC236}">
              <a16:creationId xmlns:a16="http://schemas.microsoft.com/office/drawing/2014/main" xmlns="" id="{BC5E5574-E14A-4B12-A585-0B0BE1380E4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4" name="Text Box 1271">
          <a:extLst>
            <a:ext uri="{FF2B5EF4-FFF2-40B4-BE49-F238E27FC236}">
              <a16:creationId xmlns:a16="http://schemas.microsoft.com/office/drawing/2014/main" xmlns="" id="{1D71FC67-BAAD-4EFC-A5F1-D98024D9DBF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5" name="Text Box 1273">
          <a:extLst>
            <a:ext uri="{FF2B5EF4-FFF2-40B4-BE49-F238E27FC236}">
              <a16:creationId xmlns:a16="http://schemas.microsoft.com/office/drawing/2014/main" xmlns="" id="{21315226-C0F0-4DAC-9830-5504CD1E6F8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6" name="Text Box 1274">
          <a:extLst>
            <a:ext uri="{FF2B5EF4-FFF2-40B4-BE49-F238E27FC236}">
              <a16:creationId xmlns:a16="http://schemas.microsoft.com/office/drawing/2014/main" xmlns="" id="{12339651-C38C-4244-81AB-045C92A105A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7" name="Text Box 1275">
          <a:extLst>
            <a:ext uri="{FF2B5EF4-FFF2-40B4-BE49-F238E27FC236}">
              <a16:creationId xmlns:a16="http://schemas.microsoft.com/office/drawing/2014/main" xmlns="" id="{3CD9AFF6-9BAB-4E24-9B6B-C8EF27358CBE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8" name="Text Box 1276">
          <a:extLst>
            <a:ext uri="{FF2B5EF4-FFF2-40B4-BE49-F238E27FC236}">
              <a16:creationId xmlns:a16="http://schemas.microsoft.com/office/drawing/2014/main" xmlns="" id="{416D4FC6-1447-4EBF-A71E-513ABDDE6BC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9" name="Text Box 1277">
          <a:extLst>
            <a:ext uri="{FF2B5EF4-FFF2-40B4-BE49-F238E27FC236}">
              <a16:creationId xmlns:a16="http://schemas.microsoft.com/office/drawing/2014/main" xmlns="" id="{825A6396-49FA-4324-ACE7-560C5FF4F1D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0" name="Text Box 1278">
          <a:extLst>
            <a:ext uri="{FF2B5EF4-FFF2-40B4-BE49-F238E27FC236}">
              <a16:creationId xmlns:a16="http://schemas.microsoft.com/office/drawing/2014/main" xmlns="" id="{15A204DB-E05C-4711-9040-29D5FC640EA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1" name="Text Box 1279">
          <a:extLst>
            <a:ext uri="{FF2B5EF4-FFF2-40B4-BE49-F238E27FC236}">
              <a16:creationId xmlns:a16="http://schemas.microsoft.com/office/drawing/2014/main" xmlns="" id="{E314FDE0-AE71-4EAA-8FD1-B26373EBBD0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2" name="Text Box 1280">
          <a:extLst>
            <a:ext uri="{FF2B5EF4-FFF2-40B4-BE49-F238E27FC236}">
              <a16:creationId xmlns:a16="http://schemas.microsoft.com/office/drawing/2014/main" xmlns="" id="{B5D17934-10C5-4FAB-BBF7-125CF5A3D6D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3" name="Text Box 1281">
          <a:extLst>
            <a:ext uri="{FF2B5EF4-FFF2-40B4-BE49-F238E27FC236}">
              <a16:creationId xmlns:a16="http://schemas.microsoft.com/office/drawing/2014/main" xmlns="" id="{6C7A859D-5954-4DAF-AD40-F11CFDB1DC6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4" name="Text Box 1282">
          <a:extLst>
            <a:ext uri="{FF2B5EF4-FFF2-40B4-BE49-F238E27FC236}">
              <a16:creationId xmlns:a16="http://schemas.microsoft.com/office/drawing/2014/main" xmlns="" id="{1B76C996-FA99-4604-A972-E5E9F2D18F2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5" name="Text Box 1283">
          <a:extLst>
            <a:ext uri="{FF2B5EF4-FFF2-40B4-BE49-F238E27FC236}">
              <a16:creationId xmlns:a16="http://schemas.microsoft.com/office/drawing/2014/main" xmlns="" id="{96C28185-A1DF-4FDA-9EEC-E8896258BEB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6" name="Text Box 1807">
          <a:extLst>
            <a:ext uri="{FF2B5EF4-FFF2-40B4-BE49-F238E27FC236}">
              <a16:creationId xmlns:a16="http://schemas.microsoft.com/office/drawing/2014/main" xmlns="" id="{7B9403A2-6F02-4023-80D6-601C5F2BE34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7" name="Text Box 1808">
          <a:extLst>
            <a:ext uri="{FF2B5EF4-FFF2-40B4-BE49-F238E27FC236}">
              <a16:creationId xmlns:a16="http://schemas.microsoft.com/office/drawing/2014/main" xmlns="" id="{FE9D40AF-38DB-4C69-82D6-CC26798D446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8" name="Text Box 1809">
          <a:extLst>
            <a:ext uri="{FF2B5EF4-FFF2-40B4-BE49-F238E27FC236}">
              <a16:creationId xmlns:a16="http://schemas.microsoft.com/office/drawing/2014/main" xmlns="" id="{3746E143-61ED-4B40-955F-4509C12C774E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9" name="Text Box 1810">
          <a:extLst>
            <a:ext uri="{FF2B5EF4-FFF2-40B4-BE49-F238E27FC236}">
              <a16:creationId xmlns:a16="http://schemas.microsoft.com/office/drawing/2014/main" xmlns="" id="{AB8D3873-D827-42EA-A33E-AE493BFC8678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0" name="Text Box 1811">
          <a:extLst>
            <a:ext uri="{FF2B5EF4-FFF2-40B4-BE49-F238E27FC236}">
              <a16:creationId xmlns:a16="http://schemas.microsoft.com/office/drawing/2014/main" xmlns="" id="{70079E1B-AB0B-48BE-9965-154DEF924A4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1" name="Text Box 1812">
          <a:extLst>
            <a:ext uri="{FF2B5EF4-FFF2-40B4-BE49-F238E27FC236}">
              <a16:creationId xmlns:a16="http://schemas.microsoft.com/office/drawing/2014/main" xmlns="" id="{C85A962E-360A-41A6-9FA2-B7621882652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2" name="Text Box 1813">
          <a:extLst>
            <a:ext uri="{FF2B5EF4-FFF2-40B4-BE49-F238E27FC236}">
              <a16:creationId xmlns:a16="http://schemas.microsoft.com/office/drawing/2014/main" xmlns="" id="{DC343FC2-D165-4040-AAB8-9B128E105FB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3" name="Text Box 1814">
          <a:extLst>
            <a:ext uri="{FF2B5EF4-FFF2-40B4-BE49-F238E27FC236}">
              <a16:creationId xmlns:a16="http://schemas.microsoft.com/office/drawing/2014/main" xmlns="" id="{C7F02E7D-DF7E-4992-A7FF-AC32E9DD3DF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4" name="Text Box 1815">
          <a:extLst>
            <a:ext uri="{FF2B5EF4-FFF2-40B4-BE49-F238E27FC236}">
              <a16:creationId xmlns:a16="http://schemas.microsoft.com/office/drawing/2014/main" xmlns="" id="{353347F4-312E-4A0F-A2F6-9069EB1A48B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5" name="Text Box 1816">
          <a:extLst>
            <a:ext uri="{FF2B5EF4-FFF2-40B4-BE49-F238E27FC236}">
              <a16:creationId xmlns:a16="http://schemas.microsoft.com/office/drawing/2014/main" xmlns="" id="{C056365D-0A0E-4F91-BEDB-4199796CF5C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6" name="Text Box 1817">
          <a:extLst>
            <a:ext uri="{FF2B5EF4-FFF2-40B4-BE49-F238E27FC236}">
              <a16:creationId xmlns:a16="http://schemas.microsoft.com/office/drawing/2014/main" xmlns="" id="{3AF71E4B-A582-459A-A2F0-ECBEEBD4875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7" name="Text Box 1818">
          <a:extLst>
            <a:ext uri="{FF2B5EF4-FFF2-40B4-BE49-F238E27FC236}">
              <a16:creationId xmlns:a16="http://schemas.microsoft.com/office/drawing/2014/main" xmlns="" id="{04C8089D-3716-4B4D-A437-667B6957999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8" name="Text Box 1819">
          <a:extLst>
            <a:ext uri="{FF2B5EF4-FFF2-40B4-BE49-F238E27FC236}">
              <a16:creationId xmlns:a16="http://schemas.microsoft.com/office/drawing/2014/main" xmlns="" id="{8EF246AF-01A2-4957-ADA5-263D2E86604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5E4F06E1-225A-4C4A-800F-71A9BCCD8D2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0" name="Text Box 1270">
          <a:extLst>
            <a:ext uri="{FF2B5EF4-FFF2-40B4-BE49-F238E27FC236}">
              <a16:creationId xmlns:a16="http://schemas.microsoft.com/office/drawing/2014/main" xmlns="" id="{DCB8A5D6-11C8-4D00-9678-170EEF5DB384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1" name="Text Box 1271">
          <a:extLst>
            <a:ext uri="{FF2B5EF4-FFF2-40B4-BE49-F238E27FC236}">
              <a16:creationId xmlns:a16="http://schemas.microsoft.com/office/drawing/2014/main" xmlns="" id="{867EC498-839F-4453-A7CB-539A2168399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2" name="Text Box 1273">
          <a:extLst>
            <a:ext uri="{FF2B5EF4-FFF2-40B4-BE49-F238E27FC236}">
              <a16:creationId xmlns:a16="http://schemas.microsoft.com/office/drawing/2014/main" xmlns="" id="{198D726D-14E3-4101-8EC5-6B92E9463F1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3" name="Text Box 1274">
          <a:extLst>
            <a:ext uri="{FF2B5EF4-FFF2-40B4-BE49-F238E27FC236}">
              <a16:creationId xmlns:a16="http://schemas.microsoft.com/office/drawing/2014/main" xmlns="" id="{D68C2AAA-88E2-42BD-94B3-59738185834B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4" name="Text Box 1275">
          <a:extLst>
            <a:ext uri="{FF2B5EF4-FFF2-40B4-BE49-F238E27FC236}">
              <a16:creationId xmlns:a16="http://schemas.microsoft.com/office/drawing/2014/main" xmlns="" id="{9F2DB25B-82F9-40DF-920A-AEEFDF691ED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5" name="Text Box 1276">
          <a:extLst>
            <a:ext uri="{FF2B5EF4-FFF2-40B4-BE49-F238E27FC236}">
              <a16:creationId xmlns:a16="http://schemas.microsoft.com/office/drawing/2014/main" xmlns="" id="{00EC76C6-47AB-422A-9B70-BBEFE645ABB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6" name="Text Box 1277">
          <a:extLst>
            <a:ext uri="{FF2B5EF4-FFF2-40B4-BE49-F238E27FC236}">
              <a16:creationId xmlns:a16="http://schemas.microsoft.com/office/drawing/2014/main" xmlns="" id="{992B5A2D-977F-4689-825D-A3497ED6FD3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7" name="Text Box 1278">
          <a:extLst>
            <a:ext uri="{FF2B5EF4-FFF2-40B4-BE49-F238E27FC236}">
              <a16:creationId xmlns:a16="http://schemas.microsoft.com/office/drawing/2014/main" xmlns="" id="{19B3814D-C6F6-4C99-A3C3-F600FD20673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8" name="Text Box 1279">
          <a:extLst>
            <a:ext uri="{FF2B5EF4-FFF2-40B4-BE49-F238E27FC236}">
              <a16:creationId xmlns:a16="http://schemas.microsoft.com/office/drawing/2014/main" xmlns="" id="{E7118572-F970-4493-A662-8B6040C5D76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69" name="Text Box 1280">
          <a:extLst>
            <a:ext uri="{FF2B5EF4-FFF2-40B4-BE49-F238E27FC236}">
              <a16:creationId xmlns:a16="http://schemas.microsoft.com/office/drawing/2014/main" xmlns="" id="{350AC4D2-133F-4684-835E-675D8FADDEA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0" name="Text Box 1281">
          <a:extLst>
            <a:ext uri="{FF2B5EF4-FFF2-40B4-BE49-F238E27FC236}">
              <a16:creationId xmlns:a16="http://schemas.microsoft.com/office/drawing/2014/main" xmlns="" id="{3C4B5412-BC37-404B-9D69-31ADA6FBA88E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1" name="Text Box 1282">
          <a:extLst>
            <a:ext uri="{FF2B5EF4-FFF2-40B4-BE49-F238E27FC236}">
              <a16:creationId xmlns:a16="http://schemas.microsoft.com/office/drawing/2014/main" xmlns="" id="{F3D52FDB-F186-4053-B566-39C95B44072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2" name="Text Box 1283">
          <a:extLst>
            <a:ext uri="{FF2B5EF4-FFF2-40B4-BE49-F238E27FC236}">
              <a16:creationId xmlns:a16="http://schemas.microsoft.com/office/drawing/2014/main" xmlns="" id="{3A8C73BD-1AEA-449C-8AA4-C86A4880612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3" name="Text Box 1807">
          <a:extLst>
            <a:ext uri="{FF2B5EF4-FFF2-40B4-BE49-F238E27FC236}">
              <a16:creationId xmlns:a16="http://schemas.microsoft.com/office/drawing/2014/main" xmlns="" id="{22E9AC2B-3235-4C14-AA5B-CAE069CEEBCB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4" name="Text Box 1808">
          <a:extLst>
            <a:ext uri="{FF2B5EF4-FFF2-40B4-BE49-F238E27FC236}">
              <a16:creationId xmlns:a16="http://schemas.microsoft.com/office/drawing/2014/main" xmlns="" id="{2D736AD2-A187-40BE-B355-1D1711C0D75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5" name="Text Box 1809">
          <a:extLst>
            <a:ext uri="{FF2B5EF4-FFF2-40B4-BE49-F238E27FC236}">
              <a16:creationId xmlns:a16="http://schemas.microsoft.com/office/drawing/2014/main" xmlns="" id="{8B2FF623-C449-4451-87B5-657B46C0F701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6" name="Text Box 1810">
          <a:extLst>
            <a:ext uri="{FF2B5EF4-FFF2-40B4-BE49-F238E27FC236}">
              <a16:creationId xmlns:a16="http://schemas.microsoft.com/office/drawing/2014/main" xmlns="" id="{CF8ECFAB-D413-4EF8-859C-C44136C4AC0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7" name="Text Box 1811">
          <a:extLst>
            <a:ext uri="{FF2B5EF4-FFF2-40B4-BE49-F238E27FC236}">
              <a16:creationId xmlns:a16="http://schemas.microsoft.com/office/drawing/2014/main" xmlns="" id="{59C48EB1-5D09-4EF8-AD6C-E5373A256D1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8" name="Text Box 1812">
          <a:extLst>
            <a:ext uri="{FF2B5EF4-FFF2-40B4-BE49-F238E27FC236}">
              <a16:creationId xmlns:a16="http://schemas.microsoft.com/office/drawing/2014/main" xmlns="" id="{D2C3C33B-1C52-468C-9169-80AF4C60C19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79" name="Text Box 1813">
          <a:extLst>
            <a:ext uri="{FF2B5EF4-FFF2-40B4-BE49-F238E27FC236}">
              <a16:creationId xmlns:a16="http://schemas.microsoft.com/office/drawing/2014/main" xmlns="" id="{72A6BF00-1271-47FE-ACD6-4FCA1CB152B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0" name="Text Box 1814">
          <a:extLst>
            <a:ext uri="{FF2B5EF4-FFF2-40B4-BE49-F238E27FC236}">
              <a16:creationId xmlns:a16="http://schemas.microsoft.com/office/drawing/2014/main" xmlns="" id="{DC9E60DB-4776-4C63-A6AB-533E7D27B4A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1" name="Text Box 1815">
          <a:extLst>
            <a:ext uri="{FF2B5EF4-FFF2-40B4-BE49-F238E27FC236}">
              <a16:creationId xmlns:a16="http://schemas.microsoft.com/office/drawing/2014/main" xmlns="" id="{B5225647-3013-4896-AD09-266DFBF6B80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2" name="Text Box 1816">
          <a:extLst>
            <a:ext uri="{FF2B5EF4-FFF2-40B4-BE49-F238E27FC236}">
              <a16:creationId xmlns:a16="http://schemas.microsoft.com/office/drawing/2014/main" xmlns="" id="{0E3EC68F-D567-42DC-A630-940D5AA4490E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3" name="Text Box 1817">
          <a:extLst>
            <a:ext uri="{FF2B5EF4-FFF2-40B4-BE49-F238E27FC236}">
              <a16:creationId xmlns:a16="http://schemas.microsoft.com/office/drawing/2014/main" xmlns="" id="{DD408850-D418-476F-B70C-B89600BE2FD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4" name="Text Box 1818">
          <a:extLst>
            <a:ext uri="{FF2B5EF4-FFF2-40B4-BE49-F238E27FC236}">
              <a16:creationId xmlns:a16="http://schemas.microsoft.com/office/drawing/2014/main" xmlns="" id="{6D792590-BBC8-48B5-846D-93668C304A04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5" name="Text Box 1819">
          <a:extLst>
            <a:ext uri="{FF2B5EF4-FFF2-40B4-BE49-F238E27FC236}">
              <a16:creationId xmlns:a16="http://schemas.microsoft.com/office/drawing/2014/main" xmlns="" id="{57FED809-8FCE-4039-B540-082828B3929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86" name="Text Box 1820">
          <a:extLst>
            <a:ext uri="{FF2B5EF4-FFF2-40B4-BE49-F238E27FC236}">
              <a16:creationId xmlns:a16="http://schemas.microsoft.com/office/drawing/2014/main" xmlns="" id="{6910BD41-E5FA-414A-B6CB-F4BD7815633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C02B513E-3561-42EA-99AE-1289CE80BD3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88" name="Text Box 1270">
          <a:extLst>
            <a:ext uri="{FF2B5EF4-FFF2-40B4-BE49-F238E27FC236}">
              <a16:creationId xmlns:a16="http://schemas.microsoft.com/office/drawing/2014/main" xmlns="" id="{53CB6828-A64A-44DC-9D83-F4B4A1B2DBE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89" name="Text Box 1271">
          <a:extLst>
            <a:ext uri="{FF2B5EF4-FFF2-40B4-BE49-F238E27FC236}">
              <a16:creationId xmlns:a16="http://schemas.microsoft.com/office/drawing/2014/main" xmlns="" id="{F62BB056-F953-41CD-ABCC-2436A38755F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0" name="Text Box 1273">
          <a:extLst>
            <a:ext uri="{FF2B5EF4-FFF2-40B4-BE49-F238E27FC236}">
              <a16:creationId xmlns:a16="http://schemas.microsoft.com/office/drawing/2014/main" xmlns="" id="{3C0364ED-5297-4C78-A31C-9D46C2BE6241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1" name="Text Box 1274">
          <a:extLst>
            <a:ext uri="{FF2B5EF4-FFF2-40B4-BE49-F238E27FC236}">
              <a16:creationId xmlns:a16="http://schemas.microsoft.com/office/drawing/2014/main" xmlns="" id="{46F9ED14-CAF2-4836-8DDC-9590F70084B5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2" name="Text Box 1275">
          <a:extLst>
            <a:ext uri="{FF2B5EF4-FFF2-40B4-BE49-F238E27FC236}">
              <a16:creationId xmlns:a16="http://schemas.microsoft.com/office/drawing/2014/main" xmlns="" id="{64F6A125-D1A2-40A1-8657-37580C80134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3" name="Text Box 1276">
          <a:extLst>
            <a:ext uri="{FF2B5EF4-FFF2-40B4-BE49-F238E27FC236}">
              <a16:creationId xmlns:a16="http://schemas.microsoft.com/office/drawing/2014/main" xmlns="" id="{2C911B7C-08DD-4D0F-BB69-3095D681DD4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4" name="Text Box 1277">
          <a:extLst>
            <a:ext uri="{FF2B5EF4-FFF2-40B4-BE49-F238E27FC236}">
              <a16:creationId xmlns:a16="http://schemas.microsoft.com/office/drawing/2014/main" xmlns="" id="{07453090-F63E-4CA0-A086-3DFA4636CB1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5" name="Text Box 1278">
          <a:extLst>
            <a:ext uri="{FF2B5EF4-FFF2-40B4-BE49-F238E27FC236}">
              <a16:creationId xmlns:a16="http://schemas.microsoft.com/office/drawing/2014/main" xmlns="" id="{5025865C-F7D7-46CB-8077-D6C7145C5CB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6" name="Text Box 1279">
          <a:extLst>
            <a:ext uri="{FF2B5EF4-FFF2-40B4-BE49-F238E27FC236}">
              <a16:creationId xmlns:a16="http://schemas.microsoft.com/office/drawing/2014/main" xmlns="" id="{06A09A3B-8EC4-497B-9A51-BE5377113B7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7" name="Text Box 1280">
          <a:extLst>
            <a:ext uri="{FF2B5EF4-FFF2-40B4-BE49-F238E27FC236}">
              <a16:creationId xmlns:a16="http://schemas.microsoft.com/office/drawing/2014/main" xmlns="" id="{51B4FC02-2A0F-4F54-A2B4-8D9880734B71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8" name="Text Box 1281">
          <a:extLst>
            <a:ext uri="{FF2B5EF4-FFF2-40B4-BE49-F238E27FC236}">
              <a16:creationId xmlns:a16="http://schemas.microsoft.com/office/drawing/2014/main" xmlns="" id="{9D424AF8-9336-4246-B5E5-DB8DB282EAA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99" name="Text Box 1282">
          <a:extLst>
            <a:ext uri="{FF2B5EF4-FFF2-40B4-BE49-F238E27FC236}">
              <a16:creationId xmlns:a16="http://schemas.microsoft.com/office/drawing/2014/main" xmlns="" id="{68BFE9F0-6BD5-4246-A961-1118D0C8807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0" name="Text Box 1283">
          <a:extLst>
            <a:ext uri="{FF2B5EF4-FFF2-40B4-BE49-F238E27FC236}">
              <a16:creationId xmlns:a16="http://schemas.microsoft.com/office/drawing/2014/main" xmlns="" id="{C7F2B863-DC1B-4404-8F65-38F8A7812F5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1" name="Text Box 1807">
          <a:extLst>
            <a:ext uri="{FF2B5EF4-FFF2-40B4-BE49-F238E27FC236}">
              <a16:creationId xmlns:a16="http://schemas.microsoft.com/office/drawing/2014/main" xmlns="" id="{9512C7C5-B771-41E0-8211-4C48CDEB69D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2" name="Text Box 1808">
          <a:extLst>
            <a:ext uri="{FF2B5EF4-FFF2-40B4-BE49-F238E27FC236}">
              <a16:creationId xmlns:a16="http://schemas.microsoft.com/office/drawing/2014/main" xmlns="" id="{F45F98EB-22BA-48F9-8428-16BF5BD0620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3" name="Text Box 1809">
          <a:extLst>
            <a:ext uri="{FF2B5EF4-FFF2-40B4-BE49-F238E27FC236}">
              <a16:creationId xmlns:a16="http://schemas.microsoft.com/office/drawing/2014/main" xmlns="" id="{6139EF82-6C28-444D-B0E5-E0D131E89B4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4" name="Text Box 1810">
          <a:extLst>
            <a:ext uri="{FF2B5EF4-FFF2-40B4-BE49-F238E27FC236}">
              <a16:creationId xmlns:a16="http://schemas.microsoft.com/office/drawing/2014/main" xmlns="" id="{CC879E10-148C-465D-9721-6FE4E49C89C5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5" name="Text Box 1811">
          <a:extLst>
            <a:ext uri="{FF2B5EF4-FFF2-40B4-BE49-F238E27FC236}">
              <a16:creationId xmlns:a16="http://schemas.microsoft.com/office/drawing/2014/main" xmlns="" id="{6612A5D0-F9CA-4FF8-8BCE-F6982271CE4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6" name="Text Box 1812">
          <a:extLst>
            <a:ext uri="{FF2B5EF4-FFF2-40B4-BE49-F238E27FC236}">
              <a16:creationId xmlns:a16="http://schemas.microsoft.com/office/drawing/2014/main" xmlns="" id="{9033DB7E-781A-456A-AFC2-BDE3F2F4126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7" name="Text Box 1813">
          <a:extLst>
            <a:ext uri="{FF2B5EF4-FFF2-40B4-BE49-F238E27FC236}">
              <a16:creationId xmlns:a16="http://schemas.microsoft.com/office/drawing/2014/main" xmlns="" id="{1C684CE3-3AD0-4C9D-9D54-9AC7F3E6A9B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8" name="Text Box 1814">
          <a:extLst>
            <a:ext uri="{FF2B5EF4-FFF2-40B4-BE49-F238E27FC236}">
              <a16:creationId xmlns:a16="http://schemas.microsoft.com/office/drawing/2014/main" xmlns="" id="{E24BED62-4457-4A6C-AFC6-6375BCC6B8F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09" name="Text Box 1815">
          <a:extLst>
            <a:ext uri="{FF2B5EF4-FFF2-40B4-BE49-F238E27FC236}">
              <a16:creationId xmlns:a16="http://schemas.microsoft.com/office/drawing/2014/main" xmlns="" id="{EAB55B8F-1756-4E3E-973E-BA6FEE7F6674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10" name="Text Box 1816">
          <a:extLst>
            <a:ext uri="{FF2B5EF4-FFF2-40B4-BE49-F238E27FC236}">
              <a16:creationId xmlns:a16="http://schemas.microsoft.com/office/drawing/2014/main" xmlns="" id="{7BADAFA5-DDE4-49E8-839A-085B531768F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11" name="Text Box 1817">
          <a:extLst>
            <a:ext uri="{FF2B5EF4-FFF2-40B4-BE49-F238E27FC236}">
              <a16:creationId xmlns:a16="http://schemas.microsoft.com/office/drawing/2014/main" xmlns="" id="{05C6ED04-487C-4DF0-BF93-42685DEC93B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12" name="Text Box 1818">
          <a:extLst>
            <a:ext uri="{FF2B5EF4-FFF2-40B4-BE49-F238E27FC236}">
              <a16:creationId xmlns:a16="http://schemas.microsoft.com/office/drawing/2014/main" xmlns="" id="{6ACB7D20-1A53-4F70-AB27-79566260353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13" name="Text Box 1819">
          <a:extLst>
            <a:ext uri="{FF2B5EF4-FFF2-40B4-BE49-F238E27FC236}">
              <a16:creationId xmlns:a16="http://schemas.microsoft.com/office/drawing/2014/main" xmlns="" id="{5922C135-9D9C-4FAC-84C4-A2ABDCDF89BB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4E1B6A18-2508-4234-9B6E-14CE081F8EE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5" name="Text Box 1270">
          <a:extLst>
            <a:ext uri="{FF2B5EF4-FFF2-40B4-BE49-F238E27FC236}">
              <a16:creationId xmlns:a16="http://schemas.microsoft.com/office/drawing/2014/main" xmlns="" id="{7C9EF2F6-D28B-43BA-809F-DD9B86254F1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6" name="Text Box 1271">
          <a:extLst>
            <a:ext uri="{FF2B5EF4-FFF2-40B4-BE49-F238E27FC236}">
              <a16:creationId xmlns:a16="http://schemas.microsoft.com/office/drawing/2014/main" xmlns="" id="{DF275A5E-A9C8-489C-B3A8-FA916C906CD3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7" name="Text Box 1273">
          <a:extLst>
            <a:ext uri="{FF2B5EF4-FFF2-40B4-BE49-F238E27FC236}">
              <a16:creationId xmlns:a16="http://schemas.microsoft.com/office/drawing/2014/main" xmlns="" id="{DFFC51FB-6729-48A2-BDAB-103704A993B5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8" name="Text Box 1274">
          <a:extLst>
            <a:ext uri="{FF2B5EF4-FFF2-40B4-BE49-F238E27FC236}">
              <a16:creationId xmlns:a16="http://schemas.microsoft.com/office/drawing/2014/main" xmlns="" id="{0280C1A6-AF69-468F-9050-957FC969E97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9" name="Text Box 1275">
          <a:extLst>
            <a:ext uri="{FF2B5EF4-FFF2-40B4-BE49-F238E27FC236}">
              <a16:creationId xmlns:a16="http://schemas.microsoft.com/office/drawing/2014/main" xmlns="" id="{2A0DD018-A995-4EF1-B7A0-307F46E177F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0" name="Text Box 1276">
          <a:extLst>
            <a:ext uri="{FF2B5EF4-FFF2-40B4-BE49-F238E27FC236}">
              <a16:creationId xmlns:a16="http://schemas.microsoft.com/office/drawing/2014/main" xmlns="" id="{9ED86C02-D6F4-4C18-A911-C6B5B67C539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1" name="Text Box 1277">
          <a:extLst>
            <a:ext uri="{FF2B5EF4-FFF2-40B4-BE49-F238E27FC236}">
              <a16:creationId xmlns:a16="http://schemas.microsoft.com/office/drawing/2014/main" xmlns="" id="{717138EE-2B62-4E49-A14E-FF8F8A40FBE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2" name="Text Box 1278">
          <a:extLst>
            <a:ext uri="{FF2B5EF4-FFF2-40B4-BE49-F238E27FC236}">
              <a16:creationId xmlns:a16="http://schemas.microsoft.com/office/drawing/2014/main" xmlns="" id="{3EFC42D1-3BA6-4E06-9136-99146B267D9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3" name="Text Box 1279">
          <a:extLst>
            <a:ext uri="{FF2B5EF4-FFF2-40B4-BE49-F238E27FC236}">
              <a16:creationId xmlns:a16="http://schemas.microsoft.com/office/drawing/2014/main" xmlns="" id="{1A7F410F-6B3C-47A0-8DBA-F71DDCA6A0B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4" name="Text Box 1280">
          <a:extLst>
            <a:ext uri="{FF2B5EF4-FFF2-40B4-BE49-F238E27FC236}">
              <a16:creationId xmlns:a16="http://schemas.microsoft.com/office/drawing/2014/main" xmlns="" id="{AD66E81C-59A3-4132-906C-6D0AEC7EC50D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5" name="Text Box 1281">
          <a:extLst>
            <a:ext uri="{FF2B5EF4-FFF2-40B4-BE49-F238E27FC236}">
              <a16:creationId xmlns:a16="http://schemas.microsoft.com/office/drawing/2014/main" xmlns="" id="{85E61CD3-02A3-47EB-BE8B-3512FF0011A9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6" name="Text Box 1282">
          <a:extLst>
            <a:ext uri="{FF2B5EF4-FFF2-40B4-BE49-F238E27FC236}">
              <a16:creationId xmlns:a16="http://schemas.microsoft.com/office/drawing/2014/main" xmlns="" id="{A07D4177-14D8-41D6-B612-24F894A44BD8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7" name="Text Box 1283">
          <a:extLst>
            <a:ext uri="{FF2B5EF4-FFF2-40B4-BE49-F238E27FC236}">
              <a16:creationId xmlns:a16="http://schemas.microsoft.com/office/drawing/2014/main" xmlns="" id="{2C0EC2E1-20A1-4CBE-967A-5AB9C161C99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8" name="Text Box 1807">
          <a:extLst>
            <a:ext uri="{FF2B5EF4-FFF2-40B4-BE49-F238E27FC236}">
              <a16:creationId xmlns:a16="http://schemas.microsoft.com/office/drawing/2014/main" xmlns="" id="{E2D8BD4B-B9CD-4D96-AAD9-CFB208CAB25A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9" name="Text Box 1808">
          <a:extLst>
            <a:ext uri="{FF2B5EF4-FFF2-40B4-BE49-F238E27FC236}">
              <a16:creationId xmlns:a16="http://schemas.microsoft.com/office/drawing/2014/main" xmlns="" id="{C029119A-2E1D-42EE-B7A2-825B83A7512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0" name="Text Box 1809">
          <a:extLst>
            <a:ext uri="{FF2B5EF4-FFF2-40B4-BE49-F238E27FC236}">
              <a16:creationId xmlns:a16="http://schemas.microsoft.com/office/drawing/2014/main" xmlns="" id="{2CFE1DCD-E292-4CC4-9157-F87E01EEC805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1" name="Text Box 1810">
          <a:extLst>
            <a:ext uri="{FF2B5EF4-FFF2-40B4-BE49-F238E27FC236}">
              <a16:creationId xmlns:a16="http://schemas.microsoft.com/office/drawing/2014/main" xmlns="" id="{653F0255-ED69-4EB0-ABC5-CA1AF1EA4E6E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2" name="Text Box 1811">
          <a:extLst>
            <a:ext uri="{FF2B5EF4-FFF2-40B4-BE49-F238E27FC236}">
              <a16:creationId xmlns:a16="http://schemas.microsoft.com/office/drawing/2014/main" xmlns="" id="{C373C1F1-FDC6-4644-A8EE-D38F7F5FC755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3" name="Text Box 1812">
          <a:extLst>
            <a:ext uri="{FF2B5EF4-FFF2-40B4-BE49-F238E27FC236}">
              <a16:creationId xmlns:a16="http://schemas.microsoft.com/office/drawing/2014/main" xmlns="" id="{F6528B33-6576-49F0-9C9A-39954951201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4" name="Text Box 1813">
          <a:extLst>
            <a:ext uri="{FF2B5EF4-FFF2-40B4-BE49-F238E27FC236}">
              <a16:creationId xmlns:a16="http://schemas.microsoft.com/office/drawing/2014/main" xmlns="" id="{209BC1E5-DAA6-4398-BD3E-3E28C4E0636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5" name="Text Box 1814">
          <a:extLst>
            <a:ext uri="{FF2B5EF4-FFF2-40B4-BE49-F238E27FC236}">
              <a16:creationId xmlns:a16="http://schemas.microsoft.com/office/drawing/2014/main" xmlns="" id="{D98EBA36-EBB1-4324-AA40-5DD715C653E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6" name="Text Box 1815">
          <a:extLst>
            <a:ext uri="{FF2B5EF4-FFF2-40B4-BE49-F238E27FC236}">
              <a16:creationId xmlns:a16="http://schemas.microsoft.com/office/drawing/2014/main" xmlns="" id="{C00FA415-1F5E-40BC-B072-D75103E2544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7" name="Text Box 1816">
          <a:extLst>
            <a:ext uri="{FF2B5EF4-FFF2-40B4-BE49-F238E27FC236}">
              <a16:creationId xmlns:a16="http://schemas.microsoft.com/office/drawing/2014/main" xmlns="" id="{C612F211-3170-40DF-ACE8-F8E56A202D7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8" name="Text Box 1817">
          <a:extLst>
            <a:ext uri="{FF2B5EF4-FFF2-40B4-BE49-F238E27FC236}">
              <a16:creationId xmlns:a16="http://schemas.microsoft.com/office/drawing/2014/main" xmlns="" id="{CBBE6EE0-1E80-4583-946B-0848844275F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9" name="Text Box 1818">
          <a:extLst>
            <a:ext uri="{FF2B5EF4-FFF2-40B4-BE49-F238E27FC236}">
              <a16:creationId xmlns:a16="http://schemas.microsoft.com/office/drawing/2014/main" xmlns="" id="{F2840FDF-9334-40AE-9571-0BD9F7393A3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40" name="Text Box 1819">
          <a:extLst>
            <a:ext uri="{FF2B5EF4-FFF2-40B4-BE49-F238E27FC236}">
              <a16:creationId xmlns:a16="http://schemas.microsoft.com/office/drawing/2014/main" xmlns="" id="{5E91FAB6-8075-4FBC-A658-9D80A8013EA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41" name="Text Box 1820">
          <a:extLst>
            <a:ext uri="{FF2B5EF4-FFF2-40B4-BE49-F238E27FC236}">
              <a16:creationId xmlns:a16="http://schemas.microsoft.com/office/drawing/2014/main" xmlns="" id="{5DA5A059-2C4F-481D-9F97-850755CAEE5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4CA37FBA-1AC8-4141-B416-ED95CDF3955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3" name="Text Box 1270">
          <a:extLst>
            <a:ext uri="{FF2B5EF4-FFF2-40B4-BE49-F238E27FC236}">
              <a16:creationId xmlns:a16="http://schemas.microsoft.com/office/drawing/2014/main" xmlns="" id="{E7061C71-B425-47B3-9752-4BB685DD4E3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4" name="Text Box 1271">
          <a:extLst>
            <a:ext uri="{FF2B5EF4-FFF2-40B4-BE49-F238E27FC236}">
              <a16:creationId xmlns:a16="http://schemas.microsoft.com/office/drawing/2014/main" xmlns="" id="{FE8DA546-148B-4D34-A489-8995C526BCC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5" name="Text Box 1273">
          <a:extLst>
            <a:ext uri="{FF2B5EF4-FFF2-40B4-BE49-F238E27FC236}">
              <a16:creationId xmlns:a16="http://schemas.microsoft.com/office/drawing/2014/main" xmlns="" id="{49372DF1-46F5-4305-87F8-365FC4F1CB0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6" name="Text Box 1274">
          <a:extLst>
            <a:ext uri="{FF2B5EF4-FFF2-40B4-BE49-F238E27FC236}">
              <a16:creationId xmlns:a16="http://schemas.microsoft.com/office/drawing/2014/main" xmlns="" id="{DF149C7F-62DF-4C6C-98D6-A379A8CA0509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7" name="Text Box 1275">
          <a:extLst>
            <a:ext uri="{FF2B5EF4-FFF2-40B4-BE49-F238E27FC236}">
              <a16:creationId xmlns:a16="http://schemas.microsoft.com/office/drawing/2014/main" xmlns="" id="{7E1E8036-E080-47E3-B13A-35DD5A7C5A0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8" name="Text Box 1276">
          <a:extLst>
            <a:ext uri="{FF2B5EF4-FFF2-40B4-BE49-F238E27FC236}">
              <a16:creationId xmlns:a16="http://schemas.microsoft.com/office/drawing/2014/main" xmlns="" id="{6169654A-1E81-4A9E-B9D9-9292AEF370C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9" name="Text Box 1277">
          <a:extLst>
            <a:ext uri="{FF2B5EF4-FFF2-40B4-BE49-F238E27FC236}">
              <a16:creationId xmlns:a16="http://schemas.microsoft.com/office/drawing/2014/main" xmlns="" id="{CF24D5B0-F10E-43B9-99E4-47CD5C84CEE2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0" name="Text Box 1278">
          <a:extLst>
            <a:ext uri="{FF2B5EF4-FFF2-40B4-BE49-F238E27FC236}">
              <a16:creationId xmlns:a16="http://schemas.microsoft.com/office/drawing/2014/main" xmlns="" id="{13CAF330-1565-47BF-A3D1-B89BD1E0F8D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1" name="Text Box 1279">
          <a:extLst>
            <a:ext uri="{FF2B5EF4-FFF2-40B4-BE49-F238E27FC236}">
              <a16:creationId xmlns:a16="http://schemas.microsoft.com/office/drawing/2014/main" xmlns="" id="{4D29B5C7-C824-463D-8AB0-6E3FF533236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2" name="Text Box 1280">
          <a:extLst>
            <a:ext uri="{FF2B5EF4-FFF2-40B4-BE49-F238E27FC236}">
              <a16:creationId xmlns:a16="http://schemas.microsoft.com/office/drawing/2014/main" xmlns="" id="{46C8C910-4F4C-48FD-BAE5-E40D6E5F723F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3" name="Text Box 1281">
          <a:extLst>
            <a:ext uri="{FF2B5EF4-FFF2-40B4-BE49-F238E27FC236}">
              <a16:creationId xmlns:a16="http://schemas.microsoft.com/office/drawing/2014/main" xmlns="" id="{BD51CAA3-3A0F-4A81-B648-74E10212BD35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4" name="Text Box 1282">
          <a:extLst>
            <a:ext uri="{FF2B5EF4-FFF2-40B4-BE49-F238E27FC236}">
              <a16:creationId xmlns:a16="http://schemas.microsoft.com/office/drawing/2014/main" xmlns="" id="{80065C92-908D-4CF8-9F9D-6BCEFC3ADB7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5" name="Text Box 1283">
          <a:extLst>
            <a:ext uri="{FF2B5EF4-FFF2-40B4-BE49-F238E27FC236}">
              <a16:creationId xmlns:a16="http://schemas.microsoft.com/office/drawing/2014/main" xmlns="" id="{07925910-902E-492B-BA22-6D1626D95421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6" name="Text Box 1807">
          <a:extLst>
            <a:ext uri="{FF2B5EF4-FFF2-40B4-BE49-F238E27FC236}">
              <a16:creationId xmlns:a16="http://schemas.microsoft.com/office/drawing/2014/main" xmlns="" id="{9B3ACEC4-48E5-46BE-945C-D9F7F646C2C7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7" name="Text Box 1808">
          <a:extLst>
            <a:ext uri="{FF2B5EF4-FFF2-40B4-BE49-F238E27FC236}">
              <a16:creationId xmlns:a16="http://schemas.microsoft.com/office/drawing/2014/main" xmlns="" id="{A7E9A2E3-3D11-49E0-8815-FA7E9A2B3579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8" name="Text Box 1809">
          <a:extLst>
            <a:ext uri="{FF2B5EF4-FFF2-40B4-BE49-F238E27FC236}">
              <a16:creationId xmlns:a16="http://schemas.microsoft.com/office/drawing/2014/main" xmlns="" id="{C9A0FA1B-033F-4C75-BD9F-BAC6DE35DF4A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9" name="Text Box 1810">
          <a:extLst>
            <a:ext uri="{FF2B5EF4-FFF2-40B4-BE49-F238E27FC236}">
              <a16:creationId xmlns:a16="http://schemas.microsoft.com/office/drawing/2014/main" xmlns="" id="{39730F9F-E2FC-41DA-9C4C-D8F0E4C62178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0" name="Text Box 1811">
          <a:extLst>
            <a:ext uri="{FF2B5EF4-FFF2-40B4-BE49-F238E27FC236}">
              <a16:creationId xmlns:a16="http://schemas.microsoft.com/office/drawing/2014/main" xmlns="" id="{B606C46B-4157-4220-A887-C34D287BFB7B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1" name="Text Box 1812">
          <a:extLst>
            <a:ext uri="{FF2B5EF4-FFF2-40B4-BE49-F238E27FC236}">
              <a16:creationId xmlns:a16="http://schemas.microsoft.com/office/drawing/2014/main" xmlns="" id="{4149017B-101E-4991-A9B6-0BF6964C2020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2" name="Text Box 1813">
          <a:extLst>
            <a:ext uri="{FF2B5EF4-FFF2-40B4-BE49-F238E27FC236}">
              <a16:creationId xmlns:a16="http://schemas.microsoft.com/office/drawing/2014/main" xmlns="" id="{B232661C-7D42-4773-9186-DE5CE48CD5FC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3" name="Text Box 1814">
          <a:extLst>
            <a:ext uri="{FF2B5EF4-FFF2-40B4-BE49-F238E27FC236}">
              <a16:creationId xmlns:a16="http://schemas.microsoft.com/office/drawing/2014/main" xmlns="" id="{2A3FEC1E-5B85-4738-9685-4BE437FD541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4" name="Text Box 1815">
          <a:extLst>
            <a:ext uri="{FF2B5EF4-FFF2-40B4-BE49-F238E27FC236}">
              <a16:creationId xmlns:a16="http://schemas.microsoft.com/office/drawing/2014/main" xmlns="" id="{B83952E4-53D5-4390-BE82-617F41710E14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5" name="Text Box 1816">
          <a:extLst>
            <a:ext uri="{FF2B5EF4-FFF2-40B4-BE49-F238E27FC236}">
              <a16:creationId xmlns:a16="http://schemas.microsoft.com/office/drawing/2014/main" xmlns="" id="{47505319-A426-4580-8E4E-688FC9AF35D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6" name="Text Box 1817">
          <a:extLst>
            <a:ext uri="{FF2B5EF4-FFF2-40B4-BE49-F238E27FC236}">
              <a16:creationId xmlns:a16="http://schemas.microsoft.com/office/drawing/2014/main" xmlns="" id="{A8E3A7DA-1CE0-4301-A69C-2C998504E6C6}"/>
            </a:ext>
          </a:extLst>
        </xdr:cNvPr>
        <xdr:cNvSpPr txBox="1">
          <a:spLocks noChangeArrowheads="1"/>
        </xdr:cNvSpPr>
      </xdr:nvSpPr>
      <xdr:spPr bwMode="auto">
        <a:xfrm>
          <a:off x="145542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228600</xdr:colOff>
      <xdr:row>13</xdr:row>
      <xdr:rowOff>0</xdr:rowOff>
    </xdr:from>
    <xdr:ext cx="104775" cy="230059"/>
    <xdr:sp macro="" textlink="">
      <xdr:nvSpPr>
        <xdr:cNvPr id="168" name="Text Box 1819">
          <a:extLst>
            <a:ext uri="{FF2B5EF4-FFF2-40B4-BE49-F238E27FC236}">
              <a16:creationId xmlns:a16="http://schemas.microsoft.com/office/drawing/2014/main" xmlns="" id="{FAFCC9FA-0F65-44F0-B80E-3F6A2BF718D1}"/>
            </a:ext>
          </a:extLst>
        </xdr:cNvPr>
        <xdr:cNvSpPr txBox="1">
          <a:spLocks noChangeArrowheads="1"/>
        </xdr:cNvSpPr>
      </xdr:nvSpPr>
      <xdr:spPr bwMode="auto">
        <a:xfrm>
          <a:off x="15335250" y="27146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6352FE45-2806-449A-BE02-F8CE7D851C3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0" name="Text Box 1270">
          <a:extLst>
            <a:ext uri="{FF2B5EF4-FFF2-40B4-BE49-F238E27FC236}">
              <a16:creationId xmlns:a16="http://schemas.microsoft.com/office/drawing/2014/main" xmlns="" id="{86C17BC0-522E-4733-AD2A-1B8B4DAAB78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1" name="Text Box 1271">
          <a:extLst>
            <a:ext uri="{FF2B5EF4-FFF2-40B4-BE49-F238E27FC236}">
              <a16:creationId xmlns:a16="http://schemas.microsoft.com/office/drawing/2014/main" xmlns="" id="{3923344C-5F86-40AC-8117-E5C568CE835B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2" name="Text Box 1273">
          <a:extLst>
            <a:ext uri="{FF2B5EF4-FFF2-40B4-BE49-F238E27FC236}">
              <a16:creationId xmlns:a16="http://schemas.microsoft.com/office/drawing/2014/main" xmlns="" id="{475A122C-55B3-4932-8EDC-6372D8A7FD4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3" name="Text Box 1274">
          <a:extLst>
            <a:ext uri="{FF2B5EF4-FFF2-40B4-BE49-F238E27FC236}">
              <a16:creationId xmlns:a16="http://schemas.microsoft.com/office/drawing/2014/main" xmlns="" id="{515B909E-8A1F-4415-BF8D-B6314E47C95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4" name="Text Box 1275">
          <a:extLst>
            <a:ext uri="{FF2B5EF4-FFF2-40B4-BE49-F238E27FC236}">
              <a16:creationId xmlns:a16="http://schemas.microsoft.com/office/drawing/2014/main" xmlns="" id="{05E0FB70-6258-4558-B1E1-5B632EE54D3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5" name="Text Box 1276">
          <a:extLst>
            <a:ext uri="{FF2B5EF4-FFF2-40B4-BE49-F238E27FC236}">
              <a16:creationId xmlns:a16="http://schemas.microsoft.com/office/drawing/2014/main" xmlns="" id="{FB0D6398-5E1D-42C0-850D-4724F62957D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6" name="Text Box 1277">
          <a:extLst>
            <a:ext uri="{FF2B5EF4-FFF2-40B4-BE49-F238E27FC236}">
              <a16:creationId xmlns:a16="http://schemas.microsoft.com/office/drawing/2014/main" xmlns="" id="{CED87D3A-2F77-4088-9DF6-8C83EA554191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7" name="Text Box 1278">
          <a:extLst>
            <a:ext uri="{FF2B5EF4-FFF2-40B4-BE49-F238E27FC236}">
              <a16:creationId xmlns:a16="http://schemas.microsoft.com/office/drawing/2014/main" xmlns="" id="{061C4D30-BFF1-4566-A983-0A60BF276CF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8" name="Text Box 1279">
          <a:extLst>
            <a:ext uri="{FF2B5EF4-FFF2-40B4-BE49-F238E27FC236}">
              <a16:creationId xmlns:a16="http://schemas.microsoft.com/office/drawing/2014/main" xmlns="" id="{4B106CE0-0501-4C57-8060-E9B440850D8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79" name="Text Box 1280">
          <a:extLst>
            <a:ext uri="{FF2B5EF4-FFF2-40B4-BE49-F238E27FC236}">
              <a16:creationId xmlns:a16="http://schemas.microsoft.com/office/drawing/2014/main" xmlns="" id="{B8AC3714-B7D4-4D89-AD3E-5BFFD9BD5D4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0" name="Text Box 1281">
          <a:extLst>
            <a:ext uri="{FF2B5EF4-FFF2-40B4-BE49-F238E27FC236}">
              <a16:creationId xmlns:a16="http://schemas.microsoft.com/office/drawing/2014/main" xmlns="" id="{D5204A37-9134-41E7-AAD1-6747D883425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1" name="Text Box 1282">
          <a:extLst>
            <a:ext uri="{FF2B5EF4-FFF2-40B4-BE49-F238E27FC236}">
              <a16:creationId xmlns:a16="http://schemas.microsoft.com/office/drawing/2014/main" xmlns="" id="{BCE3676B-4154-44FB-8E86-D4441663679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2" name="Text Box 1283">
          <a:extLst>
            <a:ext uri="{FF2B5EF4-FFF2-40B4-BE49-F238E27FC236}">
              <a16:creationId xmlns:a16="http://schemas.microsoft.com/office/drawing/2014/main" xmlns="" id="{806A1C48-5CBE-4F40-AACF-32B56E3A6D8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3" name="Text Box 1807">
          <a:extLst>
            <a:ext uri="{FF2B5EF4-FFF2-40B4-BE49-F238E27FC236}">
              <a16:creationId xmlns:a16="http://schemas.microsoft.com/office/drawing/2014/main" xmlns="" id="{E43F5CF2-08A6-4B0A-8368-D05E68C59A4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4" name="Text Box 1808">
          <a:extLst>
            <a:ext uri="{FF2B5EF4-FFF2-40B4-BE49-F238E27FC236}">
              <a16:creationId xmlns:a16="http://schemas.microsoft.com/office/drawing/2014/main" xmlns="" id="{ADE3AA1B-D9F8-49BC-94B1-B3C2D24960A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5" name="Text Box 1809">
          <a:extLst>
            <a:ext uri="{FF2B5EF4-FFF2-40B4-BE49-F238E27FC236}">
              <a16:creationId xmlns:a16="http://schemas.microsoft.com/office/drawing/2014/main" xmlns="" id="{D9D05B8A-7B8D-4162-B0B3-80EE1B3FE2D5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6" name="Text Box 1810">
          <a:extLst>
            <a:ext uri="{FF2B5EF4-FFF2-40B4-BE49-F238E27FC236}">
              <a16:creationId xmlns:a16="http://schemas.microsoft.com/office/drawing/2014/main" xmlns="" id="{FAEE901E-C214-4B3F-AF36-B10063A2CA1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7" name="Text Box 1811">
          <a:extLst>
            <a:ext uri="{FF2B5EF4-FFF2-40B4-BE49-F238E27FC236}">
              <a16:creationId xmlns:a16="http://schemas.microsoft.com/office/drawing/2014/main" xmlns="" id="{69615442-B55B-497E-AE64-E84B9BBD89D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8" name="Text Box 1812">
          <a:extLst>
            <a:ext uri="{FF2B5EF4-FFF2-40B4-BE49-F238E27FC236}">
              <a16:creationId xmlns:a16="http://schemas.microsoft.com/office/drawing/2014/main" xmlns="" id="{5A9F6DA8-CA06-475C-A719-84B7873A65B4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89" name="Text Box 1813">
          <a:extLst>
            <a:ext uri="{FF2B5EF4-FFF2-40B4-BE49-F238E27FC236}">
              <a16:creationId xmlns:a16="http://schemas.microsoft.com/office/drawing/2014/main" xmlns="" id="{FA6F22F8-64BC-4002-BA47-1B05C12ED66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0" name="Text Box 1814">
          <a:extLst>
            <a:ext uri="{FF2B5EF4-FFF2-40B4-BE49-F238E27FC236}">
              <a16:creationId xmlns:a16="http://schemas.microsoft.com/office/drawing/2014/main" xmlns="" id="{B5CE5974-1A0E-4412-A8A0-5CF6E075E73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1" name="Text Box 1815">
          <a:extLst>
            <a:ext uri="{FF2B5EF4-FFF2-40B4-BE49-F238E27FC236}">
              <a16:creationId xmlns:a16="http://schemas.microsoft.com/office/drawing/2014/main" xmlns="" id="{6EFA195D-9C66-4319-A7BE-F15099F43F2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2" name="Text Box 1816">
          <a:extLst>
            <a:ext uri="{FF2B5EF4-FFF2-40B4-BE49-F238E27FC236}">
              <a16:creationId xmlns:a16="http://schemas.microsoft.com/office/drawing/2014/main" xmlns="" id="{09A14189-2363-4A1B-B3E2-AA081E40E3BE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3" name="Text Box 1817">
          <a:extLst>
            <a:ext uri="{FF2B5EF4-FFF2-40B4-BE49-F238E27FC236}">
              <a16:creationId xmlns:a16="http://schemas.microsoft.com/office/drawing/2014/main" xmlns="" id="{CB311FBC-3464-4A1E-93B3-394F4AA126B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4" name="Text Box 1818">
          <a:extLst>
            <a:ext uri="{FF2B5EF4-FFF2-40B4-BE49-F238E27FC236}">
              <a16:creationId xmlns:a16="http://schemas.microsoft.com/office/drawing/2014/main" xmlns="" id="{EBE6141B-2220-4CB5-BE4F-F057CCFEB54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5" name="Text Box 1819">
          <a:extLst>
            <a:ext uri="{FF2B5EF4-FFF2-40B4-BE49-F238E27FC236}">
              <a16:creationId xmlns:a16="http://schemas.microsoft.com/office/drawing/2014/main" xmlns="" id="{575E3400-0AE2-4830-BCF9-6E08485AE93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3234"/>
    <xdr:sp macro="" textlink="">
      <xdr:nvSpPr>
        <xdr:cNvPr id="196" name="Text Box 1820">
          <a:extLst>
            <a:ext uri="{FF2B5EF4-FFF2-40B4-BE49-F238E27FC236}">
              <a16:creationId xmlns:a16="http://schemas.microsoft.com/office/drawing/2014/main" xmlns="" id="{FD89847B-119C-4474-8F3C-65338EA5846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D977DF00-7EDD-41EC-B801-554E50440CE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98" name="Text Box 1270">
          <a:extLst>
            <a:ext uri="{FF2B5EF4-FFF2-40B4-BE49-F238E27FC236}">
              <a16:creationId xmlns:a16="http://schemas.microsoft.com/office/drawing/2014/main" xmlns="" id="{5A48E6A4-3F1A-4AC2-9195-5DAEC509E8B9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199" name="Text Box 1271">
          <a:extLst>
            <a:ext uri="{FF2B5EF4-FFF2-40B4-BE49-F238E27FC236}">
              <a16:creationId xmlns:a16="http://schemas.microsoft.com/office/drawing/2014/main" xmlns="" id="{2838FFAF-E08F-40EA-9DB9-329B9C261AE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0" name="Text Box 1273">
          <a:extLst>
            <a:ext uri="{FF2B5EF4-FFF2-40B4-BE49-F238E27FC236}">
              <a16:creationId xmlns:a16="http://schemas.microsoft.com/office/drawing/2014/main" xmlns="" id="{00041EE6-9119-4FEB-9F15-68FA3ABEE1E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1" name="Text Box 1274">
          <a:extLst>
            <a:ext uri="{FF2B5EF4-FFF2-40B4-BE49-F238E27FC236}">
              <a16:creationId xmlns:a16="http://schemas.microsoft.com/office/drawing/2014/main" xmlns="" id="{12612EAC-F67C-4EB7-87DA-3CA779D41F9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2" name="Text Box 1275">
          <a:extLst>
            <a:ext uri="{FF2B5EF4-FFF2-40B4-BE49-F238E27FC236}">
              <a16:creationId xmlns:a16="http://schemas.microsoft.com/office/drawing/2014/main" xmlns="" id="{0E22E1A9-5C27-4580-BDD7-489DADDC01A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3" name="Text Box 1276">
          <a:extLst>
            <a:ext uri="{FF2B5EF4-FFF2-40B4-BE49-F238E27FC236}">
              <a16:creationId xmlns:a16="http://schemas.microsoft.com/office/drawing/2014/main" xmlns="" id="{D3235817-66E6-443B-BB9A-BD64507D5526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4" name="Text Box 1277">
          <a:extLst>
            <a:ext uri="{FF2B5EF4-FFF2-40B4-BE49-F238E27FC236}">
              <a16:creationId xmlns:a16="http://schemas.microsoft.com/office/drawing/2014/main" xmlns="" id="{41D11352-0B05-4C0A-87A4-028E98B0FF8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5" name="Text Box 1278">
          <a:extLst>
            <a:ext uri="{FF2B5EF4-FFF2-40B4-BE49-F238E27FC236}">
              <a16:creationId xmlns:a16="http://schemas.microsoft.com/office/drawing/2014/main" xmlns="" id="{386C546A-D50E-4DF9-BA1E-85AA6745D63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6" name="Text Box 1279">
          <a:extLst>
            <a:ext uri="{FF2B5EF4-FFF2-40B4-BE49-F238E27FC236}">
              <a16:creationId xmlns:a16="http://schemas.microsoft.com/office/drawing/2014/main" xmlns="" id="{57C1F404-AE88-4769-AB58-0C9144CD8A5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7" name="Text Box 1280">
          <a:extLst>
            <a:ext uri="{FF2B5EF4-FFF2-40B4-BE49-F238E27FC236}">
              <a16:creationId xmlns:a16="http://schemas.microsoft.com/office/drawing/2014/main" xmlns="" id="{44325821-E5AA-4078-9DA5-21087B977BA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8" name="Text Box 1281">
          <a:extLst>
            <a:ext uri="{FF2B5EF4-FFF2-40B4-BE49-F238E27FC236}">
              <a16:creationId xmlns:a16="http://schemas.microsoft.com/office/drawing/2014/main" xmlns="" id="{7856470B-1758-47F8-8D37-7E80CDDB6C2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09" name="Text Box 1282">
          <a:extLst>
            <a:ext uri="{FF2B5EF4-FFF2-40B4-BE49-F238E27FC236}">
              <a16:creationId xmlns:a16="http://schemas.microsoft.com/office/drawing/2014/main" xmlns="" id="{D655DDAA-B234-4B1A-8E68-BF4D0A5A2133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0" name="Text Box 1283">
          <a:extLst>
            <a:ext uri="{FF2B5EF4-FFF2-40B4-BE49-F238E27FC236}">
              <a16:creationId xmlns:a16="http://schemas.microsoft.com/office/drawing/2014/main" xmlns="" id="{75857A59-021D-4A3D-9F2C-EA5E39DC790B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1" name="Text Box 1807">
          <a:extLst>
            <a:ext uri="{FF2B5EF4-FFF2-40B4-BE49-F238E27FC236}">
              <a16:creationId xmlns:a16="http://schemas.microsoft.com/office/drawing/2014/main" xmlns="" id="{4D82CC67-7D7C-4BB4-BF3B-669875D19895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2" name="Text Box 1808">
          <a:extLst>
            <a:ext uri="{FF2B5EF4-FFF2-40B4-BE49-F238E27FC236}">
              <a16:creationId xmlns:a16="http://schemas.microsoft.com/office/drawing/2014/main" xmlns="" id="{EBD8C2CF-AF38-43D4-80EE-AFA7590343A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3" name="Text Box 1809">
          <a:extLst>
            <a:ext uri="{FF2B5EF4-FFF2-40B4-BE49-F238E27FC236}">
              <a16:creationId xmlns:a16="http://schemas.microsoft.com/office/drawing/2014/main" xmlns="" id="{EAFE4C46-BFE5-4817-9A92-3A2741C6B5DD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4" name="Text Box 1810">
          <a:extLst>
            <a:ext uri="{FF2B5EF4-FFF2-40B4-BE49-F238E27FC236}">
              <a16:creationId xmlns:a16="http://schemas.microsoft.com/office/drawing/2014/main" xmlns="" id="{2CF53E7F-AECB-4786-B317-0E02A11B4772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5" name="Text Box 1811">
          <a:extLst>
            <a:ext uri="{FF2B5EF4-FFF2-40B4-BE49-F238E27FC236}">
              <a16:creationId xmlns:a16="http://schemas.microsoft.com/office/drawing/2014/main" xmlns="" id="{9DCE421F-9084-4D69-8EC7-666BB2C46590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6" name="Text Box 1812">
          <a:extLst>
            <a:ext uri="{FF2B5EF4-FFF2-40B4-BE49-F238E27FC236}">
              <a16:creationId xmlns:a16="http://schemas.microsoft.com/office/drawing/2014/main" xmlns="" id="{D1D83036-1882-4291-A5B4-2D91324F022F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7" name="Text Box 1813">
          <a:extLst>
            <a:ext uri="{FF2B5EF4-FFF2-40B4-BE49-F238E27FC236}">
              <a16:creationId xmlns:a16="http://schemas.microsoft.com/office/drawing/2014/main" xmlns="" id="{5450D1B6-AEF3-4E62-AE25-79CF9375EA7A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8" name="Text Box 1814">
          <a:extLst>
            <a:ext uri="{FF2B5EF4-FFF2-40B4-BE49-F238E27FC236}">
              <a16:creationId xmlns:a16="http://schemas.microsoft.com/office/drawing/2014/main" xmlns="" id="{805DAC95-A1F4-48BC-863D-9FBD0A6E7817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19" name="Text Box 1815">
          <a:extLst>
            <a:ext uri="{FF2B5EF4-FFF2-40B4-BE49-F238E27FC236}">
              <a16:creationId xmlns:a16="http://schemas.microsoft.com/office/drawing/2014/main" xmlns="" id="{D03DE8E2-A2F0-4660-94CD-647AF33E986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20" name="Text Box 1816">
          <a:extLst>
            <a:ext uri="{FF2B5EF4-FFF2-40B4-BE49-F238E27FC236}">
              <a16:creationId xmlns:a16="http://schemas.microsoft.com/office/drawing/2014/main" xmlns="" id="{0308DCDD-AD31-4364-97C4-F8FF946DF27E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21" name="Text Box 1817">
          <a:extLst>
            <a:ext uri="{FF2B5EF4-FFF2-40B4-BE49-F238E27FC236}">
              <a16:creationId xmlns:a16="http://schemas.microsoft.com/office/drawing/2014/main" xmlns="" id="{9C3EEC30-FB9B-401B-B9AB-AFCE7FF9516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22" name="Text Box 1818">
          <a:extLst>
            <a:ext uri="{FF2B5EF4-FFF2-40B4-BE49-F238E27FC236}">
              <a16:creationId xmlns:a16="http://schemas.microsoft.com/office/drawing/2014/main" xmlns="" id="{C5EF6E6D-031A-436B-AB0B-CD46709BBF98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04775" cy="230059"/>
    <xdr:sp macro="" textlink="">
      <xdr:nvSpPr>
        <xdr:cNvPr id="223" name="Text Box 1819">
          <a:extLst>
            <a:ext uri="{FF2B5EF4-FFF2-40B4-BE49-F238E27FC236}">
              <a16:creationId xmlns:a16="http://schemas.microsoft.com/office/drawing/2014/main" xmlns="" id="{A457321C-409D-4C33-9FC0-248772B750EC}"/>
            </a:ext>
          </a:extLst>
        </xdr:cNvPr>
        <xdr:cNvSpPr txBox="1">
          <a:spLocks noChangeArrowheads="1"/>
        </xdr:cNvSpPr>
      </xdr:nvSpPr>
      <xdr:spPr bwMode="auto">
        <a:xfrm>
          <a:off x="13716000" y="47720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85725</xdr:colOff>
      <xdr:row>48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:a16="http://schemas.microsoft.com/office/drawing/2014/main" xmlns="" id="{A9BF9F40-76B5-4A4F-AB10-65F2657D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2319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85725</xdr:colOff>
      <xdr:row>48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:a16="http://schemas.microsoft.com/office/drawing/2014/main" xmlns="" id="{0D2CA772-5D4F-4B72-8E6B-6565843E3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2319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E538FCC7-1E13-439B-B898-0AB025AAB3D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5" name="Text Box 1270">
          <a:extLst>
            <a:ext uri="{FF2B5EF4-FFF2-40B4-BE49-F238E27FC236}">
              <a16:creationId xmlns:a16="http://schemas.microsoft.com/office/drawing/2014/main" xmlns="" id="{73B3DEFC-78BC-480A-864D-E48F0722FDA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6" name="Text Box 1271">
          <a:extLst>
            <a:ext uri="{FF2B5EF4-FFF2-40B4-BE49-F238E27FC236}">
              <a16:creationId xmlns:a16="http://schemas.microsoft.com/office/drawing/2014/main" xmlns="" id="{9CA02EB1-8119-4D03-BE30-B51A1B424011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7" name="Text Box 1273">
          <a:extLst>
            <a:ext uri="{FF2B5EF4-FFF2-40B4-BE49-F238E27FC236}">
              <a16:creationId xmlns:a16="http://schemas.microsoft.com/office/drawing/2014/main" xmlns="" id="{AB69E6CE-CD8B-4BCB-AF0D-12A14727B25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8" name="Text Box 1274">
          <a:extLst>
            <a:ext uri="{FF2B5EF4-FFF2-40B4-BE49-F238E27FC236}">
              <a16:creationId xmlns:a16="http://schemas.microsoft.com/office/drawing/2014/main" xmlns="" id="{019988EB-721C-4DDA-8CE5-843740AAFD6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9" name="Text Box 1275">
          <a:extLst>
            <a:ext uri="{FF2B5EF4-FFF2-40B4-BE49-F238E27FC236}">
              <a16:creationId xmlns:a16="http://schemas.microsoft.com/office/drawing/2014/main" xmlns="" id="{EF59818A-1F42-4943-BEBD-2A7C20FCEE14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0" name="Text Box 1276">
          <a:extLst>
            <a:ext uri="{FF2B5EF4-FFF2-40B4-BE49-F238E27FC236}">
              <a16:creationId xmlns:a16="http://schemas.microsoft.com/office/drawing/2014/main" xmlns="" id="{E0DDE088-577E-49A9-973F-404CD0F3D8B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1" name="Text Box 1277">
          <a:extLst>
            <a:ext uri="{FF2B5EF4-FFF2-40B4-BE49-F238E27FC236}">
              <a16:creationId xmlns:a16="http://schemas.microsoft.com/office/drawing/2014/main" xmlns="" id="{B3708838-D082-467B-96BC-3F839F77172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2" name="Text Box 1278">
          <a:extLst>
            <a:ext uri="{FF2B5EF4-FFF2-40B4-BE49-F238E27FC236}">
              <a16:creationId xmlns:a16="http://schemas.microsoft.com/office/drawing/2014/main" xmlns="" id="{804F3FF3-ADBF-4566-AC74-BC1E9319C05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3" name="Text Box 1279">
          <a:extLst>
            <a:ext uri="{FF2B5EF4-FFF2-40B4-BE49-F238E27FC236}">
              <a16:creationId xmlns:a16="http://schemas.microsoft.com/office/drawing/2014/main" xmlns="" id="{AD51DC6F-EABD-4D71-B1B2-AD0FA6A0E90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4" name="Text Box 1280">
          <a:extLst>
            <a:ext uri="{FF2B5EF4-FFF2-40B4-BE49-F238E27FC236}">
              <a16:creationId xmlns:a16="http://schemas.microsoft.com/office/drawing/2014/main" xmlns="" id="{61AA2EE1-21EA-4DB7-9D86-E65DAF9189E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5" name="Text Box 1281">
          <a:extLst>
            <a:ext uri="{FF2B5EF4-FFF2-40B4-BE49-F238E27FC236}">
              <a16:creationId xmlns:a16="http://schemas.microsoft.com/office/drawing/2014/main" xmlns="" id="{E07DB7B7-2F98-43A6-ADB4-B5F06B8AB9E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6" name="Text Box 1282">
          <a:extLst>
            <a:ext uri="{FF2B5EF4-FFF2-40B4-BE49-F238E27FC236}">
              <a16:creationId xmlns:a16="http://schemas.microsoft.com/office/drawing/2014/main" xmlns="" id="{5D7EBFFD-B5F5-4354-A8CE-97AB91721F6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7" name="Text Box 1283">
          <a:extLst>
            <a:ext uri="{FF2B5EF4-FFF2-40B4-BE49-F238E27FC236}">
              <a16:creationId xmlns:a16="http://schemas.microsoft.com/office/drawing/2014/main" xmlns="" id="{1231340B-D06A-401C-8BDA-80E51456C72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8" name="Text Box 1807">
          <a:extLst>
            <a:ext uri="{FF2B5EF4-FFF2-40B4-BE49-F238E27FC236}">
              <a16:creationId xmlns:a16="http://schemas.microsoft.com/office/drawing/2014/main" xmlns="" id="{3FC922D1-C0B7-4CE6-B1C3-823B4043658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19" name="Text Box 1808">
          <a:extLst>
            <a:ext uri="{FF2B5EF4-FFF2-40B4-BE49-F238E27FC236}">
              <a16:creationId xmlns:a16="http://schemas.microsoft.com/office/drawing/2014/main" xmlns="" id="{112400B7-7293-4CA1-A940-F9F98BF17C5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0" name="Text Box 1809">
          <a:extLst>
            <a:ext uri="{FF2B5EF4-FFF2-40B4-BE49-F238E27FC236}">
              <a16:creationId xmlns:a16="http://schemas.microsoft.com/office/drawing/2014/main" xmlns="" id="{5FD58B6B-4102-434C-81D1-8E35B667827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1" name="Text Box 1810">
          <a:extLst>
            <a:ext uri="{FF2B5EF4-FFF2-40B4-BE49-F238E27FC236}">
              <a16:creationId xmlns:a16="http://schemas.microsoft.com/office/drawing/2014/main" xmlns="" id="{1DC2C23D-617D-4A7E-9E1F-1565A3985E61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2" name="Text Box 1811">
          <a:extLst>
            <a:ext uri="{FF2B5EF4-FFF2-40B4-BE49-F238E27FC236}">
              <a16:creationId xmlns:a16="http://schemas.microsoft.com/office/drawing/2014/main" xmlns="" id="{2B0FE98D-BA04-4DF3-8F48-696B8CD23AE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3" name="Text Box 1812">
          <a:extLst>
            <a:ext uri="{FF2B5EF4-FFF2-40B4-BE49-F238E27FC236}">
              <a16:creationId xmlns:a16="http://schemas.microsoft.com/office/drawing/2014/main" xmlns="" id="{96491CF8-6C55-40C3-81FC-C0A2B19219A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4" name="Text Box 1813">
          <a:extLst>
            <a:ext uri="{FF2B5EF4-FFF2-40B4-BE49-F238E27FC236}">
              <a16:creationId xmlns:a16="http://schemas.microsoft.com/office/drawing/2014/main" xmlns="" id="{0FB75C01-6B8F-4557-BBD3-F3BB7B252D6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5" name="Text Box 1814">
          <a:extLst>
            <a:ext uri="{FF2B5EF4-FFF2-40B4-BE49-F238E27FC236}">
              <a16:creationId xmlns:a16="http://schemas.microsoft.com/office/drawing/2014/main" xmlns="" id="{15342127-56DC-4322-96D9-9D90B978500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6" name="Text Box 1815">
          <a:extLst>
            <a:ext uri="{FF2B5EF4-FFF2-40B4-BE49-F238E27FC236}">
              <a16:creationId xmlns:a16="http://schemas.microsoft.com/office/drawing/2014/main" xmlns="" id="{79BA9EC7-619E-425E-9BC2-C3E96CB5E4D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7" name="Text Box 1816">
          <a:extLst>
            <a:ext uri="{FF2B5EF4-FFF2-40B4-BE49-F238E27FC236}">
              <a16:creationId xmlns:a16="http://schemas.microsoft.com/office/drawing/2014/main" xmlns="" id="{CA2742FC-536B-46B9-9F91-E9D55F10639B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8" name="Text Box 1817">
          <a:extLst>
            <a:ext uri="{FF2B5EF4-FFF2-40B4-BE49-F238E27FC236}">
              <a16:creationId xmlns:a16="http://schemas.microsoft.com/office/drawing/2014/main" xmlns="" id="{71156023-ABA7-4288-8A61-EBC339EAF657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29" name="Text Box 1818">
          <a:extLst>
            <a:ext uri="{FF2B5EF4-FFF2-40B4-BE49-F238E27FC236}">
              <a16:creationId xmlns:a16="http://schemas.microsoft.com/office/drawing/2014/main" xmlns="" id="{55413361-2C34-4D30-BD8A-DE617808E5D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30" name="Text Box 1819">
          <a:extLst>
            <a:ext uri="{FF2B5EF4-FFF2-40B4-BE49-F238E27FC236}">
              <a16:creationId xmlns:a16="http://schemas.microsoft.com/office/drawing/2014/main" xmlns="" id="{C45BBA4E-EBB7-41D0-9B19-71D92A750D2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104775</xdr:colOff>
      <xdr:row>13</xdr:row>
      <xdr:rowOff>64959</xdr:rowOff>
    </xdr:to>
    <xdr:sp macro="" textlink="">
      <xdr:nvSpPr>
        <xdr:cNvPr id="31" name="Text Box 1820">
          <a:extLst>
            <a:ext uri="{FF2B5EF4-FFF2-40B4-BE49-F238E27FC236}">
              <a16:creationId xmlns:a16="http://schemas.microsoft.com/office/drawing/2014/main" xmlns="" id="{E86A7044-8FD6-4CBD-96D0-C0032E7686D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993E99E8-B6D7-4AD7-A244-6E5186849814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3" name="Text Box 1270">
          <a:extLst>
            <a:ext uri="{FF2B5EF4-FFF2-40B4-BE49-F238E27FC236}">
              <a16:creationId xmlns:a16="http://schemas.microsoft.com/office/drawing/2014/main" xmlns="" id="{DDDC12F8-3C3A-453A-BEF1-7BDADB0556BA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4" name="Text Box 1271">
          <a:extLst>
            <a:ext uri="{FF2B5EF4-FFF2-40B4-BE49-F238E27FC236}">
              <a16:creationId xmlns:a16="http://schemas.microsoft.com/office/drawing/2014/main" xmlns="" id="{D5E4711E-89EA-4B68-9B2C-D63DB8EC67A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5" name="Text Box 1273">
          <a:extLst>
            <a:ext uri="{FF2B5EF4-FFF2-40B4-BE49-F238E27FC236}">
              <a16:creationId xmlns:a16="http://schemas.microsoft.com/office/drawing/2014/main" xmlns="" id="{BB41AC63-7716-4A69-A349-06E9040FB27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6" name="Text Box 1274">
          <a:extLst>
            <a:ext uri="{FF2B5EF4-FFF2-40B4-BE49-F238E27FC236}">
              <a16:creationId xmlns:a16="http://schemas.microsoft.com/office/drawing/2014/main" xmlns="" id="{22D66CBD-4270-47DF-9E49-92DB73FB057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7" name="Text Box 1275">
          <a:extLst>
            <a:ext uri="{FF2B5EF4-FFF2-40B4-BE49-F238E27FC236}">
              <a16:creationId xmlns:a16="http://schemas.microsoft.com/office/drawing/2014/main" xmlns="" id="{55F3CC8E-76AD-4164-BF06-DB81F9B4B12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8" name="Text Box 1276">
          <a:extLst>
            <a:ext uri="{FF2B5EF4-FFF2-40B4-BE49-F238E27FC236}">
              <a16:creationId xmlns:a16="http://schemas.microsoft.com/office/drawing/2014/main" xmlns="" id="{1488C4FB-F4D8-4DE5-944F-41B036DC0A8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39" name="Text Box 1277">
          <a:extLst>
            <a:ext uri="{FF2B5EF4-FFF2-40B4-BE49-F238E27FC236}">
              <a16:creationId xmlns:a16="http://schemas.microsoft.com/office/drawing/2014/main" xmlns="" id="{B78AC9F2-93C7-4F8D-B6E7-490FFFD9850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0" name="Text Box 1278">
          <a:extLst>
            <a:ext uri="{FF2B5EF4-FFF2-40B4-BE49-F238E27FC236}">
              <a16:creationId xmlns:a16="http://schemas.microsoft.com/office/drawing/2014/main" xmlns="" id="{D9683D70-C7C8-42C8-AD05-7AEAE9E9997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1" name="Text Box 1279">
          <a:extLst>
            <a:ext uri="{FF2B5EF4-FFF2-40B4-BE49-F238E27FC236}">
              <a16:creationId xmlns:a16="http://schemas.microsoft.com/office/drawing/2014/main" xmlns="" id="{037A4AAD-9454-4F61-AD8C-F04C560B920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2" name="Text Box 1280">
          <a:extLst>
            <a:ext uri="{FF2B5EF4-FFF2-40B4-BE49-F238E27FC236}">
              <a16:creationId xmlns:a16="http://schemas.microsoft.com/office/drawing/2014/main" xmlns="" id="{AFF0A472-82F0-4C2A-AE71-BA9285F325E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3" name="Text Box 1281">
          <a:extLst>
            <a:ext uri="{FF2B5EF4-FFF2-40B4-BE49-F238E27FC236}">
              <a16:creationId xmlns:a16="http://schemas.microsoft.com/office/drawing/2014/main" xmlns="" id="{B297538C-295F-4C5D-8180-D49147C9E73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4" name="Text Box 1282">
          <a:extLst>
            <a:ext uri="{FF2B5EF4-FFF2-40B4-BE49-F238E27FC236}">
              <a16:creationId xmlns:a16="http://schemas.microsoft.com/office/drawing/2014/main" xmlns="" id="{FF3CE6F8-1962-490C-98B4-1494CEF8F3A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5" name="Text Box 1283">
          <a:extLst>
            <a:ext uri="{FF2B5EF4-FFF2-40B4-BE49-F238E27FC236}">
              <a16:creationId xmlns:a16="http://schemas.microsoft.com/office/drawing/2014/main" xmlns="" id="{A4A0CDED-906D-4C9A-88AA-DEF893B4E62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6" name="Text Box 1807">
          <a:extLst>
            <a:ext uri="{FF2B5EF4-FFF2-40B4-BE49-F238E27FC236}">
              <a16:creationId xmlns:a16="http://schemas.microsoft.com/office/drawing/2014/main" xmlns="" id="{5E33631B-5906-4B06-BA38-4D908696523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7" name="Text Box 1808">
          <a:extLst>
            <a:ext uri="{FF2B5EF4-FFF2-40B4-BE49-F238E27FC236}">
              <a16:creationId xmlns:a16="http://schemas.microsoft.com/office/drawing/2014/main" xmlns="" id="{80DA56D4-CE14-404A-8BA7-2E0C81155AD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8" name="Text Box 1809">
          <a:extLst>
            <a:ext uri="{FF2B5EF4-FFF2-40B4-BE49-F238E27FC236}">
              <a16:creationId xmlns:a16="http://schemas.microsoft.com/office/drawing/2014/main" xmlns="" id="{3C4D0C1B-460B-4C22-9E9B-14F7262F2837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49" name="Text Box 1810">
          <a:extLst>
            <a:ext uri="{FF2B5EF4-FFF2-40B4-BE49-F238E27FC236}">
              <a16:creationId xmlns:a16="http://schemas.microsoft.com/office/drawing/2014/main" xmlns="" id="{8D2CAF81-CA44-43A0-93A7-07BC1379A3C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0" name="Text Box 1811">
          <a:extLst>
            <a:ext uri="{FF2B5EF4-FFF2-40B4-BE49-F238E27FC236}">
              <a16:creationId xmlns:a16="http://schemas.microsoft.com/office/drawing/2014/main" xmlns="" id="{E5B9DFA6-E4BB-42EA-89D2-573A6B9F5F1A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1" name="Text Box 1812">
          <a:extLst>
            <a:ext uri="{FF2B5EF4-FFF2-40B4-BE49-F238E27FC236}">
              <a16:creationId xmlns:a16="http://schemas.microsoft.com/office/drawing/2014/main" xmlns="" id="{9E61029E-DABC-47DD-BDBE-E092C9EEDB1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2" name="Text Box 1813">
          <a:extLst>
            <a:ext uri="{FF2B5EF4-FFF2-40B4-BE49-F238E27FC236}">
              <a16:creationId xmlns:a16="http://schemas.microsoft.com/office/drawing/2014/main" xmlns="" id="{AC82E3E4-A354-40C2-ADDB-8821223ACB4B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3" name="Text Box 1814">
          <a:extLst>
            <a:ext uri="{FF2B5EF4-FFF2-40B4-BE49-F238E27FC236}">
              <a16:creationId xmlns:a16="http://schemas.microsoft.com/office/drawing/2014/main" xmlns="" id="{C13CCD86-0E72-4FD2-847D-238E29DD107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4" name="Text Box 1815">
          <a:extLst>
            <a:ext uri="{FF2B5EF4-FFF2-40B4-BE49-F238E27FC236}">
              <a16:creationId xmlns:a16="http://schemas.microsoft.com/office/drawing/2014/main" xmlns="" id="{0CD0520A-B96B-402E-8AE9-DFD19B3E8B9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5" name="Text Box 1816">
          <a:extLst>
            <a:ext uri="{FF2B5EF4-FFF2-40B4-BE49-F238E27FC236}">
              <a16:creationId xmlns:a16="http://schemas.microsoft.com/office/drawing/2014/main" xmlns="" id="{D244E625-A28C-42BC-829F-85F58105C90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6" name="Text Box 1817">
          <a:extLst>
            <a:ext uri="{FF2B5EF4-FFF2-40B4-BE49-F238E27FC236}">
              <a16:creationId xmlns:a16="http://schemas.microsoft.com/office/drawing/2014/main" xmlns="" id="{8AE9B250-C5F5-4722-8EF7-AE713053575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7" name="Text Box 1818">
          <a:extLst>
            <a:ext uri="{FF2B5EF4-FFF2-40B4-BE49-F238E27FC236}">
              <a16:creationId xmlns:a16="http://schemas.microsoft.com/office/drawing/2014/main" xmlns="" id="{5FBFF831-1959-4DB5-B19D-38F01F20DFF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58" name="Text Box 1819">
          <a:extLst>
            <a:ext uri="{FF2B5EF4-FFF2-40B4-BE49-F238E27FC236}">
              <a16:creationId xmlns:a16="http://schemas.microsoft.com/office/drawing/2014/main" xmlns="" id="{430F5ABB-F3A1-4C20-83B8-1E9F37B46CDA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9A0B57F1-863A-498B-A2CD-436A3A55904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0" name="Text Box 1270">
          <a:extLst>
            <a:ext uri="{FF2B5EF4-FFF2-40B4-BE49-F238E27FC236}">
              <a16:creationId xmlns:a16="http://schemas.microsoft.com/office/drawing/2014/main" xmlns="" id="{C29981D9-A8DF-424A-80E9-25613FAAD4E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1" name="Text Box 1271">
          <a:extLst>
            <a:ext uri="{FF2B5EF4-FFF2-40B4-BE49-F238E27FC236}">
              <a16:creationId xmlns:a16="http://schemas.microsoft.com/office/drawing/2014/main" xmlns="" id="{A827AB64-C632-4BDB-9F2E-7B7A8A58740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2" name="Text Box 1273">
          <a:extLst>
            <a:ext uri="{FF2B5EF4-FFF2-40B4-BE49-F238E27FC236}">
              <a16:creationId xmlns:a16="http://schemas.microsoft.com/office/drawing/2014/main" xmlns="" id="{69EBD3B3-708E-490C-956D-93DFDA08077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3" name="Text Box 1274">
          <a:extLst>
            <a:ext uri="{FF2B5EF4-FFF2-40B4-BE49-F238E27FC236}">
              <a16:creationId xmlns:a16="http://schemas.microsoft.com/office/drawing/2014/main" xmlns="" id="{BD82FC9D-065D-4F94-8D0A-CB98ADC0A86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4" name="Text Box 1275">
          <a:extLst>
            <a:ext uri="{FF2B5EF4-FFF2-40B4-BE49-F238E27FC236}">
              <a16:creationId xmlns:a16="http://schemas.microsoft.com/office/drawing/2014/main" xmlns="" id="{26D45CEA-F6E2-476D-9640-2A4A0DEF9D5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5" name="Text Box 1276">
          <a:extLst>
            <a:ext uri="{FF2B5EF4-FFF2-40B4-BE49-F238E27FC236}">
              <a16:creationId xmlns:a16="http://schemas.microsoft.com/office/drawing/2014/main" xmlns="" id="{60974F0C-64B1-415B-B76F-19375A8B210B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6" name="Text Box 1277">
          <a:extLst>
            <a:ext uri="{FF2B5EF4-FFF2-40B4-BE49-F238E27FC236}">
              <a16:creationId xmlns:a16="http://schemas.microsoft.com/office/drawing/2014/main" xmlns="" id="{5442C25C-CE6C-406D-BC04-18C35965AAFB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7" name="Text Box 1278">
          <a:extLst>
            <a:ext uri="{FF2B5EF4-FFF2-40B4-BE49-F238E27FC236}">
              <a16:creationId xmlns:a16="http://schemas.microsoft.com/office/drawing/2014/main" xmlns="" id="{1D6976A6-478B-479F-BC79-493ACAE1CA8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8" name="Text Box 1279">
          <a:extLst>
            <a:ext uri="{FF2B5EF4-FFF2-40B4-BE49-F238E27FC236}">
              <a16:creationId xmlns:a16="http://schemas.microsoft.com/office/drawing/2014/main" xmlns="" id="{07F9D7E2-9E01-4413-9EC0-C8D92867E4BF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69" name="Text Box 1280">
          <a:extLst>
            <a:ext uri="{FF2B5EF4-FFF2-40B4-BE49-F238E27FC236}">
              <a16:creationId xmlns:a16="http://schemas.microsoft.com/office/drawing/2014/main" xmlns="" id="{A9643768-AE58-4FD6-8B06-15AB8B93770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0" name="Text Box 1281">
          <a:extLst>
            <a:ext uri="{FF2B5EF4-FFF2-40B4-BE49-F238E27FC236}">
              <a16:creationId xmlns:a16="http://schemas.microsoft.com/office/drawing/2014/main" xmlns="" id="{2C360CB4-6B08-488B-8D37-F946F87B53A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1" name="Text Box 1282">
          <a:extLst>
            <a:ext uri="{FF2B5EF4-FFF2-40B4-BE49-F238E27FC236}">
              <a16:creationId xmlns:a16="http://schemas.microsoft.com/office/drawing/2014/main" xmlns="" id="{A929CF34-8BEF-4C4A-9D9D-4B2C3D2C2B55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2" name="Text Box 1283">
          <a:extLst>
            <a:ext uri="{FF2B5EF4-FFF2-40B4-BE49-F238E27FC236}">
              <a16:creationId xmlns:a16="http://schemas.microsoft.com/office/drawing/2014/main" xmlns="" id="{C16C055F-0BD4-4574-814E-A67C906DC99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3" name="Text Box 1807">
          <a:extLst>
            <a:ext uri="{FF2B5EF4-FFF2-40B4-BE49-F238E27FC236}">
              <a16:creationId xmlns:a16="http://schemas.microsoft.com/office/drawing/2014/main" xmlns="" id="{7F52793A-51B2-4436-8CD6-39A6A1D5D4BB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4" name="Text Box 1808">
          <a:extLst>
            <a:ext uri="{FF2B5EF4-FFF2-40B4-BE49-F238E27FC236}">
              <a16:creationId xmlns:a16="http://schemas.microsoft.com/office/drawing/2014/main" xmlns="" id="{A2045B5D-6733-44AA-B920-0CD8A2303A4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5" name="Text Box 1809">
          <a:extLst>
            <a:ext uri="{FF2B5EF4-FFF2-40B4-BE49-F238E27FC236}">
              <a16:creationId xmlns:a16="http://schemas.microsoft.com/office/drawing/2014/main" xmlns="" id="{06D4EBCD-0367-4C0E-B935-0BEB730D7E0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6" name="Text Box 1810">
          <a:extLst>
            <a:ext uri="{FF2B5EF4-FFF2-40B4-BE49-F238E27FC236}">
              <a16:creationId xmlns:a16="http://schemas.microsoft.com/office/drawing/2014/main" xmlns="" id="{FEC42E8E-EAA6-4803-AC13-9B1D34AB728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7" name="Text Box 1811">
          <a:extLst>
            <a:ext uri="{FF2B5EF4-FFF2-40B4-BE49-F238E27FC236}">
              <a16:creationId xmlns:a16="http://schemas.microsoft.com/office/drawing/2014/main" xmlns="" id="{FC90775C-8608-41E5-B29C-1BF9A7A207F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8" name="Text Box 1812">
          <a:extLst>
            <a:ext uri="{FF2B5EF4-FFF2-40B4-BE49-F238E27FC236}">
              <a16:creationId xmlns:a16="http://schemas.microsoft.com/office/drawing/2014/main" xmlns="" id="{5C54C9B2-D232-46D9-8FA1-3317F1D29B7A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79" name="Text Box 1813">
          <a:extLst>
            <a:ext uri="{FF2B5EF4-FFF2-40B4-BE49-F238E27FC236}">
              <a16:creationId xmlns:a16="http://schemas.microsoft.com/office/drawing/2014/main" xmlns="" id="{C1F84BA4-C7FA-4BC6-9721-B4682D958CA0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0" name="Text Box 1814">
          <a:extLst>
            <a:ext uri="{FF2B5EF4-FFF2-40B4-BE49-F238E27FC236}">
              <a16:creationId xmlns:a16="http://schemas.microsoft.com/office/drawing/2014/main" xmlns="" id="{1E6ECF52-2BBF-47D5-AFA1-21969ACDFDF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1" name="Text Box 1815">
          <a:extLst>
            <a:ext uri="{FF2B5EF4-FFF2-40B4-BE49-F238E27FC236}">
              <a16:creationId xmlns:a16="http://schemas.microsoft.com/office/drawing/2014/main" xmlns="" id="{5C606773-031E-4EB8-84AF-EC5E123F72A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2" name="Text Box 1816">
          <a:extLst>
            <a:ext uri="{FF2B5EF4-FFF2-40B4-BE49-F238E27FC236}">
              <a16:creationId xmlns:a16="http://schemas.microsoft.com/office/drawing/2014/main" xmlns="" id="{5E2CDBD1-331C-458F-AF53-677880B69675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3" name="Text Box 1817">
          <a:extLst>
            <a:ext uri="{FF2B5EF4-FFF2-40B4-BE49-F238E27FC236}">
              <a16:creationId xmlns:a16="http://schemas.microsoft.com/office/drawing/2014/main" xmlns="" id="{CCF43D72-9945-4140-9486-0A42573B060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4" name="Text Box 1818">
          <a:extLst>
            <a:ext uri="{FF2B5EF4-FFF2-40B4-BE49-F238E27FC236}">
              <a16:creationId xmlns:a16="http://schemas.microsoft.com/office/drawing/2014/main" xmlns="" id="{4EEFC3B4-C980-400C-80B1-ED3D8F76F26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5" name="Text Box 1819">
          <a:extLst>
            <a:ext uri="{FF2B5EF4-FFF2-40B4-BE49-F238E27FC236}">
              <a16:creationId xmlns:a16="http://schemas.microsoft.com/office/drawing/2014/main" xmlns="" id="{A42AEEE1-ED36-4B53-9C70-4E673A0031D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86" name="Text Box 1820">
          <a:extLst>
            <a:ext uri="{FF2B5EF4-FFF2-40B4-BE49-F238E27FC236}">
              <a16:creationId xmlns:a16="http://schemas.microsoft.com/office/drawing/2014/main" xmlns="" id="{2DC8DD86-356A-4634-8F65-A49F619CE3B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D1B7E8DB-7863-43FA-9EF4-F4AF716BAF2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88" name="Text Box 1270">
          <a:extLst>
            <a:ext uri="{FF2B5EF4-FFF2-40B4-BE49-F238E27FC236}">
              <a16:creationId xmlns:a16="http://schemas.microsoft.com/office/drawing/2014/main" xmlns="" id="{2E2B33BA-7288-4021-B416-7352EBB5A79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89" name="Text Box 1271">
          <a:extLst>
            <a:ext uri="{FF2B5EF4-FFF2-40B4-BE49-F238E27FC236}">
              <a16:creationId xmlns:a16="http://schemas.microsoft.com/office/drawing/2014/main" xmlns="" id="{56AB42AF-0CE5-481C-843A-1E42B9263E7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0" name="Text Box 1273">
          <a:extLst>
            <a:ext uri="{FF2B5EF4-FFF2-40B4-BE49-F238E27FC236}">
              <a16:creationId xmlns:a16="http://schemas.microsoft.com/office/drawing/2014/main" xmlns="" id="{D1AAF6B1-E378-4618-971C-5C2F7E91116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1" name="Text Box 1274">
          <a:extLst>
            <a:ext uri="{FF2B5EF4-FFF2-40B4-BE49-F238E27FC236}">
              <a16:creationId xmlns:a16="http://schemas.microsoft.com/office/drawing/2014/main" xmlns="" id="{0EFE1CD4-D754-4D2E-9995-E6818597E4E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2" name="Text Box 1275">
          <a:extLst>
            <a:ext uri="{FF2B5EF4-FFF2-40B4-BE49-F238E27FC236}">
              <a16:creationId xmlns:a16="http://schemas.microsoft.com/office/drawing/2014/main" xmlns="" id="{65C51433-5A7B-443C-8206-660D7E6D69E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3" name="Text Box 1276">
          <a:extLst>
            <a:ext uri="{FF2B5EF4-FFF2-40B4-BE49-F238E27FC236}">
              <a16:creationId xmlns:a16="http://schemas.microsoft.com/office/drawing/2014/main" xmlns="" id="{E3B71BE8-EFA2-411D-BCA2-4A4C73A7027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4" name="Text Box 1277">
          <a:extLst>
            <a:ext uri="{FF2B5EF4-FFF2-40B4-BE49-F238E27FC236}">
              <a16:creationId xmlns:a16="http://schemas.microsoft.com/office/drawing/2014/main" xmlns="" id="{B76FE03C-59DB-4BCB-84FC-1F34AC35CC9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5" name="Text Box 1278">
          <a:extLst>
            <a:ext uri="{FF2B5EF4-FFF2-40B4-BE49-F238E27FC236}">
              <a16:creationId xmlns:a16="http://schemas.microsoft.com/office/drawing/2014/main" xmlns="" id="{36358040-5232-47CC-AE37-A12FB49B497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6" name="Text Box 1279">
          <a:extLst>
            <a:ext uri="{FF2B5EF4-FFF2-40B4-BE49-F238E27FC236}">
              <a16:creationId xmlns:a16="http://schemas.microsoft.com/office/drawing/2014/main" xmlns="" id="{116E1311-0E7E-48A5-8235-3393CFC4068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7" name="Text Box 1280">
          <a:extLst>
            <a:ext uri="{FF2B5EF4-FFF2-40B4-BE49-F238E27FC236}">
              <a16:creationId xmlns:a16="http://schemas.microsoft.com/office/drawing/2014/main" xmlns="" id="{7E86885D-236B-4096-A5E9-3B90F1BAEC3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8" name="Text Box 1281">
          <a:extLst>
            <a:ext uri="{FF2B5EF4-FFF2-40B4-BE49-F238E27FC236}">
              <a16:creationId xmlns:a16="http://schemas.microsoft.com/office/drawing/2014/main" xmlns="" id="{77EF7FFC-65E9-42EC-BE11-8BC4460AA20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99" name="Text Box 1282">
          <a:extLst>
            <a:ext uri="{FF2B5EF4-FFF2-40B4-BE49-F238E27FC236}">
              <a16:creationId xmlns:a16="http://schemas.microsoft.com/office/drawing/2014/main" xmlns="" id="{C2F5E24B-FEB9-4BC3-832B-CA896B247F1D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0" name="Text Box 1283">
          <a:extLst>
            <a:ext uri="{FF2B5EF4-FFF2-40B4-BE49-F238E27FC236}">
              <a16:creationId xmlns:a16="http://schemas.microsoft.com/office/drawing/2014/main" xmlns="" id="{0FA7D901-1C2C-419A-9ADE-E998EB42DF4F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1" name="Text Box 1807">
          <a:extLst>
            <a:ext uri="{FF2B5EF4-FFF2-40B4-BE49-F238E27FC236}">
              <a16:creationId xmlns:a16="http://schemas.microsoft.com/office/drawing/2014/main" xmlns="" id="{3CB63162-532A-4012-B570-252C327F5D3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2" name="Text Box 1808">
          <a:extLst>
            <a:ext uri="{FF2B5EF4-FFF2-40B4-BE49-F238E27FC236}">
              <a16:creationId xmlns:a16="http://schemas.microsoft.com/office/drawing/2014/main" xmlns="" id="{57E45424-0B6C-4E2E-ADE2-F38EA4F4CF4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3" name="Text Box 1809">
          <a:extLst>
            <a:ext uri="{FF2B5EF4-FFF2-40B4-BE49-F238E27FC236}">
              <a16:creationId xmlns:a16="http://schemas.microsoft.com/office/drawing/2014/main" xmlns="" id="{678249E4-0E90-4699-AE14-08BA9CE0170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4" name="Text Box 1810">
          <a:extLst>
            <a:ext uri="{FF2B5EF4-FFF2-40B4-BE49-F238E27FC236}">
              <a16:creationId xmlns:a16="http://schemas.microsoft.com/office/drawing/2014/main" xmlns="" id="{43CC401A-AD6E-4E66-8B9C-617D4E0357D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5" name="Text Box 1811">
          <a:extLst>
            <a:ext uri="{FF2B5EF4-FFF2-40B4-BE49-F238E27FC236}">
              <a16:creationId xmlns:a16="http://schemas.microsoft.com/office/drawing/2014/main" xmlns="" id="{B35B49F3-0B48-4DE3-B710-EFB88A560EEF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6" name="Text Box 1812">
          <a:extLst>
            <a:ext uri="{FF2B5EF4-FFF2-40B4-BE49-F238E27FC236}">
              <a16:creationId xmlns:a16="http://schemas.microsoft.com/office/drawing/2014/main" xmlns="" id="{CE009CA7-8781-42D2-8CBA-B8C742464BC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7" name="Text Box 1813">
          <a:extLst>
            <a:ext uri="{FF2B5EF4-FFF2-40B4-BE49-F238E27FC236}">
              <a16:creationId xmlns:a16="http://schemas.microsoft.com/office/drawing/2014/main" xmlns="" id="{857E021F-97D0-4CC9-B292-005FD044EEE0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8" name="Text Box 1814">
          <a:extLst>
            <a:ext uri="{FF2B5EF4-FFF2-40B4-BE49-F238E27FC236}">
              <a16:creationId xmlns:a16="http://schemas.microsoft.com/office/drawing/2014/main" xmlns="" id="{8A9966B1-1DDC-41BB-A64C-CA58E665F2B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09" name="Text Box 1815">
          <a:extLst>
            <a:ext uri="{FF2B5EF4-FFF2-40B4-BE49-F238E27FC236}">
              <a16:creationId xmlns:a16="http://schemas.microsoft.com/office/drawing/2014/main" xmlns="" id="{D125A2F2-35DA-412B-A92E-6D81BBAE4C2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10" name="Text Box 1816">
          <a:extLst>
            <a:ext uri="{FF2B5EF4-FFF2-40B4-BE49-F238E27FC236}">
              <a16:creationId xmlns:a16="http://schemas.microsoft.com/office/drawing/2014/main" xmlns="" id="{DF068CA4-BD0B-45C5-921D-2CCB55F4F5C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11" name="Text Box 1817">
          <a:extLst>
            <a:ext uri="{FF2B5EF4-FFF2-40B4-BE49-F238E27FC236}">
              <a16:creationId xmlns:a16="http://schemas.microsoft.com/office/drawing/2014/main" xmlns="" id="{F7359C0C-D20F-4D05-AB08-96B865366B1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12" name="Text Box 1818">
          <a:extLst>
            <a:ext uri="{FF2B5EF4-FFF2-40B4-BE49-F238E27FC236}">
              <a16:creationId xmlns:a16="http://schemas.microsoft.com/office/drawing/2014/main" xmlns="" id="{A4D77769-ED50-4EB0-BD80-5DC0D1CAEF4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13" name="Text Box 1819">
          <a:extLst>
            <a:ext uri="{FF2B5EF4-FFF2-40B4-BE49-F238E27FC236}">
              <a16:creationId xmlns:a16="http://schemas.microsoft.com/office/drawing/2014/main" xmlns="" id="{264E5E4B-58F2-4BDF-A24B-AE96C698538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7B9EF604-3A2A-484E-ACB3-E3780A9F3C9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5" name="Text Box 1270">
          <a:extLst>
            <a:ext uri="{FF2B5EF4-FFF2-40B4-BE49-F238E27FC236}">
              <a16:creationId xmlns:a16="http://schemas.microsoft.com/office/drawing/2014/main" xmlns="" id="{E079F201-5624-4530-AA79-4CB2A2E03129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6" name="Text Box 1271">
          <a:extLst>
            <a:ext uri="{FF2B5EF4-FFF2-40B4-BE49-F238E27FC236}">
              <a16:creationId xmlns:a16="http://schemas.microsoft.com/office/drawing/2014/main" xmlns="" id="{EAB71CA1-C0CB-4A8D-BEE1-86E4D42FB1CC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7" name="Text Box 1273">
          <a:extLst>
            <a:ext uri="{FF2B5EF4-FFF2-40B4-BE49-F238E27FC236}">
              <a16:creationId xmlns:a16="http://schemas.microsoft.com/office/drawing/2014/main" xmlns="" id="{CE868943-AF5D-43DB-8B74-AB13CC89A08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8" name="Text Box 1274">
          <a:extLst>
            <a:ext uri="{FF2B5EF4-FFF2-40B4-BE49-F238E27FC236}">
              <a16:creationId xmlns:a16="http://schemas.microsoft.com/office/drawing/2014/main" xmlns="" id="{B95A8763-9317-4FD3-AF29-0D0A7AFA2F4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19" name="Text Box 1275">
          <a:extLst>
            <a:ext uri="{FF2B5EF4-FFF2-40B4-BE49-F238E27FC236}">
              <a16:creationId xmlns:a16="http://schemas.microsoft.com/office/drawing/2014/main" xmlns="" id="{B5CB20E2-2A20-4184-92BD-793F452C46A7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0" name="Text Box 1276">
          <a:extLst>
            <a:ext uri="{FF2B5EF4-FFF2-40B4-BE49-F238E27FC236}">
              <a16:creationId xmlns:a16="http://schemas.microsoft.com/office/drawing/2014/main" xmlns="" id="{838045A3-9335-40B4-B5CE-C526213367E1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1" name="Text Box 1277">
          <a:extLst>
            <a:ext uri="{FF2B5EF4-FFF2-40B4-BE49-F238E27FC236}">
              <a16:creationId xmlns:a16="http://schemas.microsoft.com/office/drawing/2014/main" xmlns="" id="{C2BBC6C8-3821-45DE-A317-B68B5293845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2" name="Text Box 1278">
          <a:extLst>
            <a:ext uri="{FF2B5EF4-FFF2-40B4-BE49-F238E27FC236}">
              <a16:creationId xmlns:a16="http://schemas.microsoft.com/office/drawing/2014/main" xmlns="" id="{77054282-9627-4F31-A3B9-B665D133B9D4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3" name="Text Box 1279">
          <a:extLst>
            <a:ext uri="{FF2B5EF4-FFF2-40B4-BE49-F238E27FC236}">
              <a16:creationId xmlns:a16="http://schemas.microsoft.com/office/drawing/2014/main" xmlns="" id="{7E0D2B83-E4AE-4EE9-919A-BE3F12AA7B7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4" name="Text Box 1280">
          <a:extLst>
            <a:ext uri="{FF2B5EF4-FFF2-40B4-BE49-F238E27FC236}">
              <a16:creationId xmlns:a16="http://schemas.microsoft.com/office/drawing/2014/main" xmlns="" id="{838BAD86-86CF-4AB7-9FD9-DFB44AAB242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5" name="Text Box 1281">
          <a:extLst>
            <a:ext uri="{FF2B5EF4-FFF2-40B4-BE49-F238E27FC236}">
              <a16:creationId xmlns:a16="http://schemas.microsoft.com/office/drawing/2014/main" xmlns="" id="{9B5A20A5-8C5B-4EBD-86D6-97E9BF3A5137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6" name="Text Box 1282">
          <a:extLst>
            <a:ext uri="{FF2B5EF4-FFF2-40B4-BE49-F238E27FC236}">
              <a16:creationId xmlns:a16="http://schemas.microsoft.com/office/drawing/2014/main" xmlns="" id="{C8E76E26-0DEC-483E-A26D-F4C39BD5257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7" name="Text Box 1283">
          <a:extLst>
            <a:ext uri="{FF2B5EF4-FFF2-40B4-BE49-F238E27FC236}">
              <a16:creationId xmlns:a16="http://schemas.microsoft.com/office/drawing/2014/main" xmlns="" id="{9D29AA0F-9D96-44AC-8FDD-6EFAEAA52887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8" name="Text Box 1807">
          <a:extLst>
            <a:ext uri="{FF2B5EF4-FFF2-40B4-BE49-F238E27FC236}">
              <a16:creationId xmlns:a16="http://schemas.microsoft.com/office/drawing/2014/main" xmlns="" id="{BC356642-E633-43CD-8BF7-DB7B5741210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29" name="Text Box 1808">
          <a:extLst>
            <a:ext uri="{FF2B5EF4-FFF2-40B4-BE49-F238E27FC236}">
              <a16:creationId xmlns:a16="http://schemas.microsoft.com/office/drawing/2014/main" xmlns="" id="{AF3D7690-652C-4C53-A211-A912B988E8D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0" name="Text Box 1809">
          <a:extLst>
            <a:ext uri="{FF2B5EF4-FFF2-40B4-BE49-F238E27FC236}">
              <a16:creationId xmlns:a16="http://schemas.microsoft.com/office/drawing/2014/main" xmlns="" id="{B382DFBE-B2A2-47C0-8A19-B942D13E4EA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1" name="Text Box 1810">
          <a:extLst>
            <a:ext uri="{FF2B5EF4-FFF2-40B4-BE49-F238E27FC236}">
              <a16:creationId xmlns:a16="http://schemas.microsoft.com/office/drawing/2014/main" xmlns="" id="{AFECCBBE-B28E-4DDB-80E3-2B6EAFC2542B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2" name="Text Box 1811">
          <a:extLst>
            <a:ext uri="{FF2B5EF4-FFF2-40B4-BE49-F238E27FC236}">
              <a16:creationId xmlns:a16="http://schemas.microsoft.com/office/drawing/2014/main" xmlns="" id="{04CBD977-4FA6-4CC4-B0AD-846E6319694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3" name="Text Box 1812">
          <a:extLst>
            <a:ext uri="{FF2B5EF4-FFF2-40B4-BE49-F238E27FC236}">
              <a16:creationId xmlns:a16="http://schemas.microsoft.com/office/drawing/2014/main" xmlns="" id="{ED991CFE-B07D-45CF-894E-EB5788BD9F09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4" name="Text Box 1813">
          <a:extLst>
            <a:ext uri="{FF2B5EF4-FFF2-40B4-BE49-F238E27FC236}">
              <a16:creationId xmlns:a16="http://schemas.microsoft.com/office/drawing/2014/main" xmlns="" id="{06C507E4-707D-4B70-8D0C-146BE6FBA29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5" name="Text Box 1814">
          <a:extLst>
            <a:ext uri="{FF2B5EF4-FFF2-40B4-BE49-F238E27FC236}">
              <a16:creationId xmlns:a16="http://schemas.microsoft.com/office/drawing/2014/main" xmlns="" id="{4D10AB6B-E4AC-4A19-B35D-D306F119D4B0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6" name="Text Box 1815">
          <a:extLst>
            <a:ext uri="{FF2B5EF4-FFF2-40B4-BE49-F238E27FC236}">
              <a16:creationId xmlns:a16="http://schemas.microsoft.com/office/drawing/2014/main" xmlns="" id="{72EAFEAD-9CA2-4625-BCBD-A15D7AA58DD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7" name="Text Box 1816">
          <a:extLst>
            <a:ext uri="{FF2B5EF4-FFF2-40B4-BE49-F238E27FC236}">
              <a16:creationId xmlns:a16="http://schemas.microsoft.com/office/drawing/2014/main" xmlns="" id="{1ADB358D-BB2F-4D6E-A61C-5A3ED176CA9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8" name="Text Box 1817">
          <a:extLst>
            <a:ext uri="{FF2B5EF4-FFF2-40B4-BE49-F238E27FC236}">
              <a16:creationId xmlns:a16="http://schemas.microsoft.com/office/drawing/2014/main" xmlns="" id="{71CCC1B4-EDBA-4F4C-877E-C2E54233E77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39" name="Text Box 1818">
          <a:extLst>
            <a:ext uri="{FF2B5EF4-FFF2-40B4-BE49-F238E27FC236}">
              <a16:creationId xmlns:a16="http://schemas.microsoft.com/office/drawing/2014/main" xmlns="" id="{5E18FD0C-9179-4421-9B74-AB6566510D0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40" name="Text Box 1819">
          <a:extLst>
            <a:ext uri="{FF2B5EF4-FFF2-40B4-BE49-F238E27FC236}">
              <a16:creationId xmlns:a16="http://schemas.microsoft.com/office/drawing/2014/main" xmlns="" id="{5A7230AA-527B-4E1A-8589-8EEBDEE934A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3234"/>
    <xdr:sp macro="" textlink="">
      <xdr:nvSpPr>
        <xdr:cNvPr id="141" name="Text Box 1820">
          <a:extLst>
            <a:ext uri="{FF2B5EF4-FFF2-40B4-BE49-F238E27FC236}">
              <a16:creationId xmlns:a16="http://schemas.microsoft.com/office/drawing/2014/main" xmlns="" id="{E04D0383-1FBB-4D73-AEF9-9AA6E909F3B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2DA38D76-60BF-4B2D-A31D-B675DCB8FD5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3" name="Text Box 1270">
          <a:extLst>
            <a:ext uri="{FF2B5EF4-FFF2-40B4-BE49-F238E27FC236}">
              <a16:creationId xmlns:a16="http://schemas.microsoft.com/office/drawing/2014/main" xmlns="" id="{90CDCC38-E236-4060-ABF3-9BA3F7AD428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4" name="Text Box 1271">
          <a:extLst>
            <a:ext uri="{FF2B5EF4-FFF2-40B4-BE49-F238E27FC236}">
              <a16:creationId xmlns:a16="http://schemas.microsoft.com/office/drawing/2014/main" xmlns="" id="{B96B879A-7C05-483F-891D-55C1016C07F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5" name="Text Box 1273">
          <a:extLst>
            <a:ext uri="{FF2B5EF4-FFF2-40B4-BE49-F238E27FC236}">
              <a16:creationId xmlns:a16="http://schemas.microsoft.com/office/drawing/2014/main" xmlns="" id="{B08EA07F-C483-4100-9997-A5B44BFE3192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6" name="Text Box 1274">
          <a:extLst>
            <a:ext uri="{FF2B5EF4-FFF2-40B4-BE49-F238E27FC236}">
              <a16:creationId xmlns:a16="http://schemas.microsoft.com/office/drawing/2014/main" xmlns="" id="{D3E6B8DF-AC38-47C9-8D4E-277ADF1A976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7" name="Text Box 1275">
          <a:extLst>
            <a:ext uri="{FF2B5EF4-FFF2-40B4-BE49-F238E27FC236}">
              <a16:creationId xmlns:a16="http://schemas.microsoft.com/office/drawing/2014/main" xmlns="" id="{342E459B-62F7-4FCF-804C-0CB93E2D9E6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8" name="Text Box 1276">
          <a:extLst>
            <a:ext uri="{FF2B5EF4-FFF2-40B4-BE49-F238E27FC236}">
              <a16:creationId xmlns:a16="http://schemas.microsoft.com/office/drawing/2014/main" xmlns="" id="{DEBDE6F1-E567-4CD9-92B1-B6602D572B4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49" name="Text Box 1277">
          <a:extLst>
            <a:ext uri="{FF2B5EF4-FFF2-40B4-BE49-F238E27FC236}">
              <a16:creationId xmlns:a16="http://schemas.microsoft.com/office/drawing/2014/main" xmlns="" id="{484C4804-5D12-4341-A3E7-79201990951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0" name="Text Box 1278">
          <a:extLst>
            <a:ext uri="{FF2B5EF4-FFF2-40B4-BE49-F238E27FC236}">
              <a16:creationId xmlns:a16="http://schemas.microsoft.com/office/drawing/2014/main" xmlns="" id="{8306812E-2C27-4C92-B867-6244F6C059E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1" name="Text Box 1279">
          <a:extLst>
            <a:ext uri="{FF2B5EF4-FFF2-40B4-BE49-F238E27FC236}">
              <a16:creationId xmlns:a16="http://schemas.microsoft.com/office/drawing/2014/main" xmlns="" id="{72234C73-CA98-448B-920C-0F0F8775B06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2" name="Text Box 1280">
          <a:extLst>
            <a:ext uri="{FF2B5EF4-FFF2-40B4-BE49-F238E27FC236}">
              <a16:creationId xmlns:a16="http://schemas.microsoft.com/office/drawing/2014/main" xmlns="" id="{88CC3B7F-F095-44BB-A34E-C544FBB057C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3" name="Text Box 1281">
          <a:extLst>
            <a:ext uri="{FF2B5EF4-FFF2-40B4-BE49-F238E27FC236}">
              <a16:creationId xmlns:a16="http://schemas.microsoft.com/office/drawing/2014/main" xmlns="" id="{86DCC6C2-35A8-49E4-8F5B-DBC505D32BB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4" name="Text Box 1282">
          <a:extLst>
            <a:ext uri="{FF2B5EF4-FFF2-40B4-BE49-F238E27FC236}">
              <a16:creationId xmlns:a16="http://schemas.microsoft.com/office/drawing/2014/main" xmlns="" id="{5FB0046F-5F11-4B0A-B190-98F84270839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5" name="Text Box 1283">
          <a:extLst>
            <a:ext uri="{FF2B5EF4-FFF2-40B4-BE49-F238E27FC236}">
              <a16:creationId xmlns:a16="http://schemas.microsoft.com/office/drawing/2014/main" xmlns="" id="{9B48A5C2-C164-4162-8B7B-3550746ADE71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6" name="Text Box 1807">
          <a:extLst>
            <a:ext uri="{FF2B5EF4-FFF2-40B4-BE49-F238E27FC236}">
              <a16:creationId xmlns:a16="http://schemas.microsoft.com/office/drawing/2014/main" xmlns="" id="{4D4C442E-6E9A-4D38-B827-31ED2E36919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7" name="Text Box 1808">
          <a:extLst>
            <a:ext uri="{FF2B5EF4-FFF2-40B4-BE49-F238E27FC236}">
              <a16:creationId xmlns:a16="http://schemas.microsoft.com/office/drawing/2014/main" xmlns="" id="{C3F6784D-D89F-4036-BA6C-295F0F6F2C6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8" name="Text Box 1809">
          <a:extLst>
            <a:ext uri="{FF2B5EF4-FFF2-40B4-BE49-F238E27FC236}">
              <a16:creationId xmlns:a16="http://schemas.microsoft.com/office/drawing/2014/main" xmlns="" id="{2FD3DAF0-D344-4CC4-9C5A-1DDC0D879A4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59" name="Text Box 1810">
          <a:extLst>
            <a:ext uri="{FF2B5EF4-FFF2-40B4-BE49-F238E27FC236}">
              <a16:creationId xmlns:a16="http://schemas.microsoft.com/office/drawing/2014/main" xmlns="" id="{9E7586CF-A4A4-4EE6-8868-E0FDE1EFEC1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0" name="Text Box 1811">
          <a:extLst>
            <a:ext uri="{FF2B5EF4-FFF2-40B4-BE49-F238E27FC236}">
              <a16:creationId xmlns:a16="http://schemas.microsoft.com/office/drawing/2014/main" xmlns="" id="{71CC0C54-6DA8-44CE-BAE3-A545D1E280E1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1" name="Text Box 1812">
          <a:extLst>
            <a:ext uri="{FF2B5EF4-FFF2-40B4-BE49-F238E27FC236}">
              <a16:creationId xmlns:a16="http://schemas.microsoft.com/office/drawing/2014/main" xmlns="" id="{26A1AB51-3B54-4766-8EE9-4E605A2791BE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2" name="Text Box 1813">
          <a:extLst>
            <a:ext uri="{FF2B5EF4-FFF2-40B4-BE49-F238E27FC236}">
              <a16:creationId xmlns:a16="http://schemas.microsoft.com/office/drawing/2014/main" xmlns="" id="{0F5D129D-63C7-4D59-B04D-ECFC52C3716A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3" name="Text Box 1814">
          <a:extLst>
            <a:ext uri="{FF2B5EF4-FFF2-40B4-BE49-F238E27FC236}">
              <a16:creationId xmlns:a16="http://schemas.microsoft.com/office/drawing/2014/main" xmlns="" id="{65BCE1D9-75CF-478A-98C6-C5081B40CA0F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4" name="Text Box 1815">
          <a:extLst>
            <a:ext uri="{FF2B5EF4-FFF2-40B4-BE49-F238E27FC236}">
              <a16:creationId xmlns:a16="http://schemas.microsoft.com/office/drawing/2014/main" xmlns="" id="{0E10CE6B-2AD3-4B47-AD7F-05B3D3AAAE78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5" name="Text Box 1816">
          <a:extLst>
            <a:ext uri="{FF2B5EF4-FFF2-40B4-BE49-F238E27FC236}">
              <a16:creationId xmlns:a16="http://schemas.microsoft.com/office/drawing/2014/main" xmlns="" id="{E958E7EF-C90E-4BC3-98CD-E99CE88F820D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6" name="Text Box 1817">
          <a:extLst>
            <a:ext uri="{FF2B5EF4-FFF2-40B4-BE49-F238E27FC236}">
              <a16:creationId xmlns:a16="http://schemas.microsoft.com/office/drawing/2014/main" xmlns="" id="{FFB3E585-E2BE-44D0-AD17-4D2D026E4F35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7" name="Text Box 1818">
          <a:extLst>
            <a:ext uri="{FF2B5EF4-FFF2-40B4-BE49-F238E27FC236}">
              <a16:creationId xmlns:a16="http://schemas.microsoft.com/office/drawing/2014/main" xmlns="" id="{61EFA9B7-C056-4AE2-8283-B94B1E11C646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12</xdr:row>
      <xdr:rowOff>0</xdr:rowOff>
    </xdr:from>
    <xdr:ext cx="104775" cy="230059"/>
    <xdr:sp macro="" textlink="">
      <xdr:nvSpPr>
        <xdr:cNvPr id="168" name="Text Box 1819">
          <a:extLst>
            <a:ext uri="{FF2B5EF4-FFF2-40B4-BE49-F238E27FC236}">
              <a16:creationId xmlns:a16="http://schemas.microsoft.com/office/drawing/2014/main" xmlns="" id="{28702E63-F538-436C-9D9B-40F34DBBF153}"/>
            </a:ext>
          </a:extLst>
        </xdr:cNvPr>
        <xdr:cNvSpPr txBox="1">
          <a:spLocks noChangeArrowheads="1"/>
        </xdr:cNvSpPr>
      </xdr:nvSpPr>
      <xdr:spPr bwMode="auto">
        <a:xfrm>
          <a:off x="7010400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4D93576C-B77F-4C24-8399-6C958776920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0" name="Text Box 1270">
          <a:extLst>
            <a:ext uri="{FF2B5EF4-FFF2-40B4-BE49-F238E27FC236}">
              <a16:creationId xmlns:a16="http://schemas.microsoft.com/office/drawing/2014/main" xmlns="" id="{7B80F32F-5DA3-4A3A-938C-E3A4F305678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1" name="Text Box 1271">
          <a:extLst>
            <a:ext uri="{FF2B5EF4-FFF2-40B4-BE49-F238E27FC236}">
              <a16:creationId xmlns:a16="http://schemas.microsoft.com/office/drawing/2014/main" xmlns="" id="{E75BF5F0-ECA1-47A5-B2DF-62BDF6D2406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2" name="Text Box 1273">
          <a:extLst>
            <a:ext uri="{FF2B5EF4-FFF2-40B4-BE49-F238E27FC236}">
              <a16:creationId xmlns:a16="http://schemas.microsoft.com/office/drawing/2014/main" xmlns="" id="{2FA32D49-9695-413C-8A79-57E9FDB93E6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3" name="Text Box 1274">
          <a:extLst>
            <a:ext uri="{FF2B5EF4-FFF2-40B4-BE49-F238E27FC236}">
              <a16:creationId xmlns:a16="http://schemas.microsoft.com/office/drawing/2014/main" xmlns="" id="{A25F94A1-20F7-47C3-AA41-4600EF83426F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4" name="Text Box 1275">
          <a:extLst>
            <a:ext uri="{FF2B5EF4-FFF2-40B4-BE49-F238E27FC236}">
              <a16:creationId xmlns:a16="http://schemas.microsoft.com/office/drawing/2014/main" xmlns="" id="{E08AC913-2AAA-4020-830A-13FE8F02C81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5" name="Text Box 1276">
          <a:extLst>
            <a:ext uri="{FF2B5EF4-FFF2-40B4-BE49-F238E27FC236}">
              <a16:creationId xmlns:a16="http://schemas.microsoft.com/office/drawing/2014/main" xmlns="" id="{2B6959A0-1F8E-45AA-B34A-7DA4C36CCF2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6" name="Text Box 1277">
          <a:extLst>
            <a:ext uri="{FF2B5EF4-FFF2-40B4-BE49-F238E27FC236}">
              <a16:creationId xmlns:a16="http://schemas.microsoft.com/office/drawing/2014/main" xmlns="" id="{0A369C04-4A5B-4094-9AE1-7379B5A09B2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7" name="Text Box 1278">
          <a:extLst>
            <a:ext uri="{FF2B5EF4-FFF2-40B4-BE49-F238E27FC236}">
              <a16:creationId xmlns:a16="http://schemas.microsoft.com/office/drawing/2014/main" xmlns="" id="{14128F58-CD7A-40CC-BD26-2D2BB7E459F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8" name="Text Box 1279">
          <a:extLst>
            <a:ext uri="{FF2B5EF4-FFF2-40B4-BE49-F238E27FC236}">
              <a16:creationId xmlns:a16="http://schemas.microsoft.com/office/drawing/2014/main" xmlns="" id="{CBA147BF-175F-457B-8CEC-1F6E904A2F0B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79" name="Text Box 1280">
          <a:extLst>
            <a:ext uri="{FF2B5EF4-FFF2-40B4-BE49-F238E27FC236}">
              <a16:creationId xmlns:a16="http://schemas.microsoft.com/office/drawing/2014/main" xmlns="" id="{B1AB91EA-F23E-4DC7-AB7C-54E40C32DC5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0" name="Text Box 1281">
          <a:extLst>
            <a:ext uri="{FF2B5EF4-FFF2-40B4-BE49-F238E27FC236}">
              <a16:creationId xmlns:a16="http://schemas.microsoft.com/office/drawing/2014/main" xmlns="" id="{5DCAC8A3-536E-45F3-85C5-D5F656ED8CA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1" name="Text Box 1282">
          <a:extLst>
            <a:ext uri="{FF2B5EF4-FFF2-40B4-BE49-F238E27FC236}">
              <a16:creationId xmlns:a16="http://schemas.microsoft.com/office/drawing/2014/main" xmlns="" id="{BBFE0457-0199-49C3-9853-497262257A4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2" name="Text Box 1283">
          <a:extLst>
            <a:ext uri="{FF2B5EF4-FFF2-40B4-BE49-F238E27FC236}">
              <a16:creationId xmlns:a16="http://schemas.microsoft.com/office/drawing/2014/main" xmlns="" id="{A3B4A441-A830-4DC5-8D90-4A2510FDE125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3" name="Text Box 1807">
          <a:extLst>
            <a:ext uri="{FF2B5EF4-FFF2-40B4-BE49-F238E27FC236}">
              <a16:creationId xmlns:a16="http://schemas.microsoft.com/office/drawing/2014/main" xmlns="" id="{33CE47DC-9C65-43F1-ABFC-70CC4F91B2FD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4" name="Text Box 1808">
          <a:extLst>
            <a:ext uri="{FF2B5EF4-FFF2-40B4-BE49-F238E27FC236}">
              <a16:creationId xmlns:a16="http://schemas.microsoft.com/office/drawing/2014/main" xmlns="" id="{3239CD41-7500-4265-8DC7-E0D2CA776EF5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5" name="Text Box 1809">
          <a:extLst>
            <a:ext uri="{FF2B5EF4-FFF2-40B4-BE49-F238E27FC236}">
              <a16:creationId xmlns:a16="http://schemas.microsoft.com/office/drawing/2014/main" xmlns="" id="{1D5ECD61-4273-4CF5-A3B8-ACBA6FD37DA1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6" name="Text Box 1810">
          <a:extLst>
            <a:ext uri="{FF2B5EF4-FFF2-40B4-BE49-F238E27FC236}">
              <a16:creationId xmlns:a16="http://schemas.microsoft.com/office/drawing/2014/main" xmlns="" id="{09141DE7-D602-4B35-8DB5-52718CBC1CF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7" name="Text Box 1811">
          <a:extLst>
            <a:ext uri="{FF2B5EF4-FFF2-40B4-BE49-F238E27FC236}">
              <a16:creationId xmlns:a16="http://schemas.microsoft.com/office/drawing/2014/main" xmlns="" id="{6C88BDDF-E52F-416E-B312-6BE8FE26D26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8" name="Text Box 1812">
          <a:extLst>
            <a:ext uri="{FF2B5EF4-FFF2-40B4-BE49-F238E27FC236}">
              <a16:creationId xmlns:a16="http://schemas.microsoft.com/office/drawing/2014/main" xmlns="" id="{0533418E-D32A-4268-80A0-F1D09A508130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89" name="Text Box 1813">
          <a:extLst>
            <a:ext uri="{FF2B5EF4-FFF2-40B4-BE49-F238E27FC236}">
              <a16:creationId xmlns:a16="http://schemas.microsoft.com/office/drawing/2014/main" xmlns="" id="{BC889C91-D816-4E89-ACB0-B8F9895A74BA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0" name="Text Box 1814">
          <a:extLst>
            <a:ext uri="{FF2B5EF4-FFF2-40B4-BE49-F238E27FC236}">
              <a16:creationId xmlns:a16="http://schemas.microsoft.com/office/drawing/2014/main" xmlns="" id="{A39105C7-362C-4FC4-9914-68B7216112F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1" name="Text Box 1815">
          <a:extLst>
            <a:ext uri="{FF2B5EF4-FFF2-40B4-BE49-F238E27FC236}">
              <a16:creationId xmlns:a16="http://schemas.microsoft.com/office/drawing/2014/main" xmlns="" id="{8C168E4C-245B-4973-A1C5-72129C118DA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2" name="Text Box 1816">
          <a:extLst>
            <a:ext uri="{FF2B5EF4-FFF2-40B4-BE49-F238E27FC236}">
              <a16:creationId xmlns:a16="http://schemas.microsoft.com/office/drawing/2014/main" xmlns="" id="{89F5BD9C-EA37-44F1-B6A4-B16A9CAD685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3" name="Text Box 1817">
          <a:extLst>
            <a:ext uri="{FF2B5EF4-FFF2-40B4-BE49-F238E27FC236}">
              <a16:creationId xmlns:a16="http://schemas.microsoft.com/office/drawing/2014/main" xmlns="" id="{57614638-2DA4-422B-90CD-AD0F2C38F0E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4" name="Text Box 1818">
          <a:extLst>
            <a:ext uri="{FF2B5EF4-FFF2-40B4-BE49-F238E27FC236}">
              <a16:creationId xmlns:a16="http://schemas.microsoft.com/office/drawing/2014/main" xmlns="" id="{BE04E737-F5E3-40F2-B703-B0610A271F6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5" name="Text Box 1819">
          <a:extLst>
            <a:ext uri="{FF2B5EF4-FFF2-40B4-BE49-F238E27FC236}">
              <a16:creationId xmlns:a16="http://schemas.microsoft.com/office/drawing/2014/main" xmlns="" id="{1EB147ED-99BD-4DAE-8A77-8805D5A3B360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3234"/>
    <xdr:sp macro="" textlink="">
      <xdr:nvSpPr>
        <xdr:cNvPr id="196" name="Text Box 1820">
          <a:extLst>
            <a:ext uri="{FF2B5EF4-FFF2-40B4-BE49-F238E27FC236}">
              <a16:creationId xmlns:a16="http://schemas.microsoft.com/office/drawing/2014/main" xmlns="" id="{EED5DEE2-DFBC-4960-9726-6A07C667E84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79ECF861-48DB-481E-98F7-A7C8C3FD584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98" name="Text Box 1270">
          <a:extLst>
            <a:ext uri="{FF2B5EF4-FFF2-40B4-BE49-F238E27FC236}">
              <a16:creationId xmlns:a16="http://schemas.microsoft.com/office/drawing/2014/main" xmlns="" id="{25C83E73-0FD2-4EB3-B630-88309BA68E8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199" name="Text Box 1271">
          <a:extLst>
            <a:ext uri="{FF2B5EF4-FFF2-40B4-BE49-F238E27FC236}">
              <a16:creationId xmlns:a16="http://schemas.microsoft.com/office/drawing/2014/main" xmlns="" id="{1873B958-C24A-406D-869E-A96FB7E85E60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0" name="Text Box 1273">
          <a:extLst>
            <a:ext uri="{FF2B5EF4-FFF2-40B4-BE49-F238E27FC236}">
              <a16:creationId xmlns:a16="http://schemas.microsoft.com/office/drawing/2014/main" xmlns="" id="{6CEAE3C8-3670-4925-B454-245E8255D41F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1" name="Text Box 1274">
          <a:extLst>
            <a:ext uri="{FF2B5EF4-FFF2-40B4-BE49-F238E27FC236}">
              <a16:creationId xmlns:a16="http://schemas.microsoft.com/office/drawing/2014/main" xmlns="" id="{77D5F17D-BA3D-4D08-A0F5-F21361E0B5F2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2" name="Text Box 1275">
          <a:extLst>
            <a:ext uri="{FF2B5EF4-FFF2-40B4-BE49-F238E27FC236}">
              <a16:creationId xmlns:a16="http://schemas.microsoft.com/office/drawing/2014/main" xmlns="" id="{33EB3143-C19D-4B92-A502-A867510C7CA4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3" name="Text Box 1276">
          <a:extLst>
            <a:ext uri="{FF2B5EF4-FFF2-40B4-BE49-F238E27FC236}">
              <a16:creationId xmlns:a16="http://schemas.microsoft.com/office/drawing/2014/main" xmlns="" id="{34F868B4-46B5-4F39-A76D-3F49266AD8AA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4" name="Text Box 1277">
          <a:extLst>
            <a:ext uri="{FF2B5EF4-FFF2-40B4-BE49-F238E27FC236}">
              <a16:creationId xmlns:a16="http://schemas.microsoft.com/office/drawing/2014/main" xmlns="" id="{16D5DB0F-FB96-4A70-8049-250A9EE464C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5" name="Text Box 1278">
          <a:extLst>
            <a:ext uri="{FF2B5EF4-FFF2-40B4-BE49-F238E27FC236}">
              <a16:creationId xmlns:a16="http://schemas.microsoft.com/office/drawing/2014/main" xmlns="" id="{1FEF203E-D8AA-4A8D-9D38-0B0D0594EEA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6" name="Text Box 1279">
          <a:extLst>
            <a:ext uri="{FF2B5EF4-FFF2-40B4-BE49-F238E27FC236}">
              <a16:creationId xmlns:a16="http://schemas.microsoft.com/office/drawing/2014/main" xmlns="" id="{18E5F5ED-1505-455F-8BD1-6ED444EB0E65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7" name="Text Box 1280">
          <a:extLst>
            <a:ext uri="{FF2B5EF4-FFF2-40B4-BE49-F238E27FC236}">
              <a16:creationId xmlns:a16="http://schemas.microsoft.com/office/drawing/2014/main" xmlns="" id="{8062B42B-91E7-4A8E-AFEE-E8DDFB4DF6A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8" name="Text Box 1281">
          <a:extLst>
            <a:ext uri="{FF2B5EF4-FFF2-40B4-BE49-F238E27FC236}">
              <a16:creationId xmlns:a16="http://schemas.microsoft.com/office/drawing/2014/main" xmlns="" id="{221BC2D9-BA79-43DC-8B32-3B8E7C9FB3C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09" name="Text Box 1282">
          <a:extLst>
            <a:ext uri="{FF2B5EF4-FFF2-40B4-BE49-F238E27FC236}">
              <a16:creationId xmlns:a16="http://schemas.microsoft.com/office/drawing/2014/main" xmlns="" id="{BDFCD68B-5ECD-4AA1-9EA3-D7DAB13CE7E7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0" name="Text Box 1283">
          <a:extLst>
            <a:ext uri="{FF2B5EF4-FFF2-40B4-BE49-F238E27FC236}">
              <a16:creationId xmlns:a16="http://schemas.microsoft.com/office/drawing/2014/main" xmlns="" id="{C3866200-0E6A-4599-9A89-A62AEECA03B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1" name="Text Box 1807">
          <a:extLst>
            <a:ext uri="{FF2B5EF4-FFF2-40B4-BE49-F238E27FC236}">
              <a16:creationId xmlns:a16="http://schemas.microsoft.com/office/drawing/2014/main" xmlns="" id="{404C2517-3546-4193-A988-34DB7AB3DE2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2" name="Text Box 1808">
          <a:extLst>
            <a:ext uri="{FF2B5EF4-FFF2-40B4-BE49-F238E27FC236}">
              <a16:creationId xmlns:a16="http://schemas.microsoft.com/office/drawing/2014/main" xmlns="" id="{B6D7A785-58A4-4949-A341-B1A635A4F73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3" name="Text Box 1809">
          <a:extLst>
            <a:ext uri="{FF2B5EF4-FFF2-40B4-BE49-F238E27FC236}">
              <a16:creationId xmlns:a16="http://schemas.microsoft.com/office/drawing/2014/main" xmlns="" id="{A7028B50-D59F-4859-BBC1-1DA104714AFD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4" name="Text Box 1810">
          <a:extLst>
            <a:ext uri="{FF2B5EF4-FFF2-40B4-BE49-F238E27FC236}">
              <a16:creationId xmlns:a16="http://schemas.microsoft.com/office/drawing/2014/main" xmlns="" id="{080E4576-A7BC-4DFE-B16B-F91320066ED3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5" name="Text Box 1811">
          <a:extLst>
            <a:ext uri="{FF2B5EF4-FFF2-40B4-BE49-F238E27FC236}">
              <a16:creationId xmlns:a16="http://schemas.microsoft.com/office/drawing/2014/main" xmlns="" id="{B407F271-2805-4348-8C99-12C05C43CCB8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6" name="Text Box 1812">
          <a:extLst>
            <a:ext uri="{FF2B5EF4-FFF2-40B4-BE49-F238E27FC236}">
              <a16:creationId xmlns:a16="http://schemas.microsoft.com/office/drawing/2014/main" xmlns="" id="{878C1556-CFA1-4636-9861-6920562E4746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7" name="Text Box 1813">
          <a:extLst>
            <a:ext uri="{FF2B5EF4-FFF2-40B4-BE49-F238E27FC236}">
              <a16:creationId xmlns:a16="http://schemas.microsoft.com/office/drawing/2014/main" xmlns="" id="{38273798-728E-498D-A60B-D3627266BE0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8" name="Text Box 1814">
          <a:extLst>
            <a:ext uri="{FF2B5EF4-FFF2-40B4-BE49-F238E27FC236}">
              <a16:creationId xmlns:a16="http://schemas.microsoft.com/office/drawing/2014/main" xmlns="" id="{F8E46DE4-A168-4A80-AFD8-BC9ACB352B5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19" name="Text Box 1815">
          <a:extLst>
            <a:ext uri="{FF2B5EF4-FFF2-40B4-BE49-F238E27FC236}">
              <a16:creationId xmlns:a16="http://schemas.microsoft.com/office/drawing/2014/main" xmlns="" id="{4432DA0F-D13A-4A65-B4B8-F90927D932B9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20" name="Text Box 1816">
          <a:extLst>
            <a:ext uri="{FF2B5EF4-FFF2-40B4-BE49-F238E27FC236}">
              <a16:creationId xmlns:a16="http://schemas.microsoft.com/office/drawing/2014/main" xmlns="" id="{BCC0467E-BF3E-4689-B794-947EA549D87A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21" name="Text Box 1817">
          <a:extLst>
            <a:ext uri="{FF2B5EF4-FFF2-40B4-BE49-F238E27FC236}">
              <a16:creationId xmlns:a16="http://schemas.microsoft.com/office/drawing/2014/main" xmlns="" id="{E8CA433D-4F4A-4AAA-B985-D0AA26C72ACC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22" name="Text Box 1818">
          <a:extLst>
            <a:ext uri="{FF2B5EF4-FFF2-40B4-BE49-F238E27FC236}">
              <a16:creationId xmlns:a16="http://schemas.microsoft.com/office/drawing/2014/main" xmlns="" id="{8311D716-AE8E-4B77-B10B-5AEE0858EBFE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04775" cy="230059"/>
    <xdr:sp macro="" textlink="">
      <xdr:nvSpPr>
        <xdr:cNvPr id="223" name="Text Box 1819">
          <a:extLst>
            <a:ext uri="{FF2B5EF4-FFF2-40B4-BE49-F238E27FC236}">
              <a16:creationId xmlns:a16="http://schemas.microsoft.com/office/drawing/2014/main" xmlns="" id="{DFCD8D50-D968-46EC-9C94-A452B5ED2AAA}"/>
            </a:ext>
          </a:extLst>
        </xdr:cNvPr>
        <xdr:cNvSpPr txBox="1">
          <a:spLocks noChangeArrowheads="1"/>
        </xdr:cNvSpPr>
      </xdr:nvSpPr>
      <xdr:spPr bwMode="auto">
        <a:xfrm>
          <a:off x="6296025" y="320992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M47"/>
  <sheetViews>
    <sheetView zoomScaleNormal="100" workbookViewId="0">
      <pane xSplit="4" ySplit="11" topLeftCell="W12" activePane="bottomRight" state="frozen"/>
      <selection pane="topRight" activeCell="F1" sqref="F1"/>
      <selection pane="bottomLeft" activeCell="A10" sqref="A10"/>
      <selection pane="bottomRight" activeCell="AH21" sqref="AH21"/>
    </sheetView>
  </sheetViews>
  <sheetFormatPr defaultRowHeight="15" x14ac:dyDescent="0.25"/>
  <cols>
    <col min="1" max="1" width="1.42578125" style="2" customWidth="1"/>
    <col min="2" max="2" width="23.140625" style="1" bestFit="1" customWidth="1"/>
    <col min="3" max="3" width="47.5703125" style="1" customWidth="1"/>
    <col min="4" max="4" width="45.5703125" customWidth="1"/>
    <col min="5" max="5" width="18.140625" customWidth="1"/>
    <col min="6" max="6" width="10.7109375" customWidth="1"/>
    <col min="7" max="19" width="11.140625" bestFit="1" customWidth="1"/>
    <col min="20" max="21" width="14.42578125" bestFit="1" customWidth="1"/>
    <col min="22" max="23" width="14.28515625" customWidth="1"/>
    <col min="24" max="24" width="12" bestFit="1" customWidth="1"/>
    <col min="26" max="26" width="12" bestFit="1" customWidth="1"/>
  </cols>
  <sheetData>
    <row r="1" spans="2:26 16158:16159" s="2" customFormat="1" ht="15.75" thickBot="1" x14ac:dyDescent="0.3">
      <c r="B1" s="16"/>
      <c r="C1" s="16"/>
      <c r="D1" s="17"/>
      <c r="W1"/>
    </row>
    <row r="2" spans="2:26 16158:16159" s="2" customFormat="1" x14ac:dyDescent="0.25">
      <c r="B2" s="18" t="s">
        <v>15</v>
      </c>
      <c r="C2" s="19" t="s">
        <v>16</v>
      </c>
      <c r="D2" s="20" t="s">
        <v>17</v>
      </c>
      <c r="W2"/>
    </row>
    <row r="3" spans="2:26 16158:16159" s="2" customFormat="1" x14ac:dyDescent="0.25">
      <c r="B3" s="18" t="s">
        <v>18</v>
      </c>
      <c r="C3" s="21" t="s">
        <v>19</v>
      </c>
      <c r="D3" s="20" t="s">
        <v>20</v>
      </c>
      <c r="W3"/>
    </row>
    <row r="4" spans="2:26 16158:16159" s="2" customFormat="1" x14ac:dyDescent="0.25">
      <c r="B4" s="8" t="s">
        <v>0</v>
      </c>
      <c r="C4" s="9" t="s">
        <v>132</v>
      </c>
      <c r="D4" s="11" t="s">
        <v>13</v>
      </c>
      <c r="W4"/>
      <c r="WWL4" s="3" t="s">
        <v>9</v>
      </c>
      <c r="WWM4" s="3">
        <v>0</v>
      </c>
    </row>
    <row r="5" spans="2:26 16158:16159" s="2" customFormat="1" x14ac:dyDescent="0.25">
      <c r="B5" s="8" t="s">
        <v>1</v>
      </c>
      <c r="C5" s="12" t="s">
        <v>23</v>
      </c>
      <c r="D5" s="11" t="s">
        <v>11</v>
      </c>
      <c r="W5"/>
      <c r="WWL5" s="3" t="s">
        <v>8</v>
      </c>
      <c r="WWM5" s="3">
        <v>3</v>
      </c>
    </row>
    <row r="6" spans="2:26 16158:16159" s="2" customFormat="1" ht="15.75" thickBot="1" x14ac:dyDescent="0.3">
      <c r="B6" s="8" t="s">
        <v>2</v>
      </c>
      <c r="C6" s="9" t="s">
        <v>14</v>
      </c>
      <c r="D6" s="11" t="s">
        <v>12</v>
      </c>
      <c r="W6"/>
      <c r="WWL6" s="3" t="s">
        <v>4</v>
      </c>
      <c r="WWM6" s="3">
        <v>6</v>
      </c>
    </row>
    <row r="7" spans="2:26 16158:16159" s="2" customFormat="1" x14ac:dyDescent="0.25">
      <c r="B7" s="5" t="s">
        <v>5</v>
      </c>
      <c r="C7" s="6">
        <v>6</v>
      </c>
      <c r="D7" s="7" t="str">
        <f>"Scale = "&amp;IF(C7=0,"Unit",(IF(C7=3,"Thousand",(IF(C7=6,"Million",(IF(C7=9,"Billion")))))))</f>
        <v>Scale = Million</v>
      </c>
      <c r="W7"/>
      <c r="WWL7" s="3"/>
      <c r="WWM7" s="3">
        <v>9</v>
      </c>
    </row>
    <row r="8" spans="2:26 16158:16159" s="2" customFormat="1" x14ac:dyDescent="0.25">
      <c r="B8" s="8" t="s">
        <v>3</v>
      </c>
      <c r="C8" s="9" t="s">
        <v>4</v>
      </c>
      <c r="D8" s="10" t="str">
        <f>"Frequency = "&amp;IF(C8="A","Annual",IF(C8="Q", "Quarterly", "Monthly"))</f>
        <v>Frequency = Annual</v>
      </c>
      <c r="W8"/>
      <c r="WWL8" s="3"/>
      <c r="WWM8" s="3"/>
    </row>
    <row r="9" spans="2:26 16158:16159" s="2" customFormat="1" ht="15.75" thickBot="1" x14ac:dyDescent="0.3">
      <c r="B9" s="13" t="s">
        <v>10</v>
      </c>
      <c r="C9" s="14"/>
      <c r="D9" s="15" t="s">
        <v>21</v>
      </c>
      <c r="W9"/>
    </row>
    <row r="10" spans="2:26 16158:16159" s="2" customFormat="1" x14ac:dyDescent="0.25">
      <c r="B10" s="4"/>
      <c r="W10"/>
    </row>
    <row r="11" spans="2:26 16158:16159" x14ac:dyDescent="0.25">
      <c r="B11" s="22" t="s">
        <v>7</v>
      </c>
      <c r="C11" s="22" t="s">
        <v>22</v>
      </c>
      <c r="D11" s="22" t="s">
        <v>133</v>
      </c>
      <c r="E11" s="22" t="s">
        <v>6</v>
      </c>
      <c r="F11" s="24">
        <v>2004</v>
      </c>
      <c r="G11" s="24">
        <v>2005</v>
      </c>
      <c r="H11" s="24">
        <v>2006</v>
      </c>
      <c r="I11" s="24">
        <v>2007</v>
      </c>
      <c r="J11" s="24">
        <v>2008</v>
      </c>
      <c r="K11" s="24">
        <v>2009</v>
      </c>
      <c r="L11" s="24">
        <v>2010</v>
      </c>
      <c r="M11" s="24">
        <v>2011</v>
      </c>
      <c r="N11" s="24">
        <v>2012</v>
      </c>
      <c r="O11" s="24">
        <v>2013</v>
      </c>
      <c r="P11" s="24">
        <v>2014</v>
      </c>
      <c r="Q11" s="24">
        <v>2015</v>
      </c>
      <c r="R11" s="24">
        <v>2016</v>
      </c>
      <c r="S11" s="24">
        <v>2017</v>
      </c>
      <c r="T11" s="67">
        <v>2018</v>
      </c>
      <c r="U11" s="67">
        <v>2019</v>
      </c>
      <c r="V11" s="71">
        <v>2020</v>
      </c>
      <c r="W11" s="71">
        <v>2021</v>
      </c>
      <c r="X11" s="71">
        <v>2022</v>
      </c>
      <c r="Y11" s="71">
        <v>2023</v>
      </c>
      <c r="Z11" s="78">
        <v>2024</v>
      </c>
    </row>
    <row r="12" spans="2:26 16158:16159" x14ac:dyDescent="0.25">
      <c r="B12" s="22"/>
      <c r="C12" s="22"/>
      <c r="D12" s="22"/>
      <c r="E12" s="22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7"/>
      <c r="U12" s="67"/>
      <c r="V12" s="72"/>
      <c r="W12" s="72"/>
      <c r="Z12" s="79"/>
    </row>
    <row r="13" spans="2:26 16158:16159" s="23" customFormat="1" ht="12.75" x14ac:dyDescent="0.2">
      <c r="C13" s="25" t="s">
        <v>134</v>
      </c>
      <c r="D13" s="25" t="s">
        <v>135</v>
      </c>
      <c r="E13" s="26"/>
      <c r="F13" s="62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8"/>
      <c r="U13" s="68"/>
      <c r="V13" s="69"/>
      <c r="W13" s="69"/>
      <c r="Z13" s="80"/>
    </row>
    <row r="14" spans="2:26 16158:16159" s="23" customFormat="1" ht="12.75" x14ac:dyDescent="0.2">
      <c r="C14" s="27" t="s">
        <v>24</v>
      </c>
      <c r="D14" s="28" t="s">
        <v>25</v>
      </c>
      <c r="E14" s="27"/>
      <c r="F14" s="27"/>
      <c r="G14" s="29"/>
      <c r="H14" s="29"/>
      <c r="I14" s="29"/>
      <c r="J14" s="29"/>
      <c r="K14" s="29"/>
      <c r="L14" s="27"/>
      <c r="M14" s="27"/>
      <c r="N14" s="27"/>
      <c r="O14" s="27"/>
      <c r="P14" s="27"/>
      <c r="Q14" s="29"/>
      <c r="R14" s="27"/>
      <c r="S14" s="27"/>
      <c r="T14" s="27"/>
      <c r="U14" s="27"/>
      <c r="V14" s="69"/>
      <c r="W14" s="69"/>
      <c r="Z14" s="80"/>
    </row>
    <row r="15" spans="2:26 16158:16159" s="23" customFormat="1" ht="12.75" x14ac:dyDescent="0.2">
      <c r="B15" s="23" t="s">
        <v>184</v>
      </c>
      <c r="C15" s="53" t="s">
        <v>26</v>
      </c>
      <c r="D15" s="56" t="s">
        <v>27</v>
      </c>
      <c r="E15" s="62" t="s">
        <v>184</v>
      </c>
      <c r="F15" s="29">
        <v>108.36199999999999</v>
      </c>
      <c r="G15" s="29">
        <v>116.50925009999999</v>
      </c>
      <c r="H15" s="29">
        <v>128.52724154000001</v>
      </c>
      <c r="I15" s="29">
        <v>133.62741041000001</v>
      </c>
      <c r="J15" s="29">
        <v>154.65607263999999</v>
      </c>
      <c r="K15" s="29">
        <v>125.96175159000001</v>
      </c>
      <c r="L15" s="29">
        <v>125.94493985</v>
      </c>
      <c r="M15" s="29">
        <v>109.268</v>
      </c>
      <c r="N15" s="30">
        <v>101.98502698999999</v>
      </c>
      <c r="O15" s="30">
        <v>108.167</v>
      </c>
      <c r="P15" s="30">
        <v>112.15758875</v>
      </c>
      <c r="Q15" s="30">
        <v>113.71305739</v>
      </c>
      <c r="R15" s="30">
        <v>108.88031002</v>
      </c>
      <c r="S15" s="31">
        <v>112.80204878000001</v>
      </c>
      <c r="T15" s="31">
        <v>126.189441</v>
      </c>
      <c r="U15" s="31">
        <f>131814676.96/1000000</f>
        <v>131.81467695999999</v>
      </c>
      <c r="V15" s="31">
        <f>119403090.48/1000000</f>
        <v>119.40309048</v>
      </c>
      <c r="W15" s="31">
        <f>141789166.32/1000000</f>
        <v>141.78916631999999</v>
      </c>
      <c r="X15" s="31">
        <f>162643503.38/1000000</f>
        <v>162.64350338</v>
      </c>
      <c r="Y15" s="76">
        <f>176124400.34/1000000</f>
        <v>176.12440033999999</v>
      </c>
      <c r="Z15" s="81">
        <v>195.89543878000001</v>
      </c>
    </row>
    <row r="16" spans="2:26 16158:16159" s="23" customFormat="1" ht="12.75" x14ac:dyDescent="0.2">
      <c r="B16" s="23" t="s">
        <v>185</v>
      </c>
      <c r="C16" s="53" t="s">
        <v>28</v>
      </c>
      <c r="D16" s="56" t="s">
        <v>29</v>
      </c>
      <c r="E16" s="62" t="s">
        <v>185</v>
      </c>
      <c r="F16" s="29">
        <v>28.425999999999998</v>
      </c>
      <c r="G16" s="29">
        <v>35.980649579999998</v>
      </c>
      <c r="H16" s="29">
        <v>51.923645790000002</v>
      </c>
      <c r="I16" s="29">
        <v>58.309643680000001</v>
      </c>
      <c r="J16" s="29">
        <v>59.735324749999997</v>
      </c>
      <c r="K16" s="29">
        <v>54.139385159999996</v>
      </c>
      <c r="L16" s="29">
        <v>47.708007700000003</v>
      </c>
      <c r="M16" s="29">
        <v>40.558999999999997</v>
      </c>
      <c r="N16" s="30">
        <v>46.686437320000003</v>
      </c>
      <c r="O16" s="30">
        <v>33.503999999999998</v>
      </c>
      <c r="P16" s="30">
        <v>37.378759810000005</v>
      </c>
      <c r="Q16" s="30">
        <v>35.379534579999998</v>
      </c>
      <c r="R16" s="30">
        <v>35.315684270000006</v>
      </c>
      <c r="S16" s="31">
        <v>36.330137119999996</v>
      </c>
      <c r="T16" s="31">
        <f>55485295.29/1000000</f>
        <v>55.485295289999996</v>
      </c>
      <c r="U16" s="31">
        <f>39051982.88/1000000</f>
        <v>39.051982880000004</v>
      </c>
      <c r="V16" s="31">
        <f>35510050.51/1000000</f>
        <v>35.510050509999999</v>
      </c>
      <c r="W16" s="31">
        <f>40701379.52/1000000</f>
        <v>40.701379520000003</v>
      </c>
      <c r="X16" s="31">
        <f>50413372.94/1000000</f>
        <v>50.413372939999995</v>
      </c>
      <c r="Y16" s="76">
        <f>49571976.44/1000000</f>
        <v>49.57197644</v>
      </c>
      <c r="Z16" s="81">
        <v>48.551215630000002</v>
      </c>
    </row>
    <row r="17" spans="2:26" s="23" customFormat="1" ht="12.75" x14ac:dyDescent="0.2">
      <c r="B17" s="23" t="s">
        <v>186</v>
      </c>
      <c r="C17" s="53" t="s">
        <v>30</v>
      </c>
      <c r="D17" s="56" t="s">
        <v>31</v>
      </c>
      <c r="E17" s="62" t="s">
        <v>186</v>
      </c>
      <c r="F17" s="29">
        <v>342.64699999999999</v>
      </c>
      <c r="G17" s="29">
        <v>357.35617339999999</v>
      </c>
      <c r="H17" s="29">
        <v>404.15871085000003</v>
      </c>
      <c r="I17" s="29">
        <v>469.47860095999999</v>
      </c>
      <c r="J17" s="29">
        <v>461.08984827999996</v>
      </c>
      <c r="K17" s="29">
        <v>372.97482991999999</v>
      </c>
      <c r="L17" s="29">
        <v>329.69580826999999</v>
      </c>
      <c r="M17" s="29">
        <v>277.18599999999998</v>
      </c>
      <c r="N17" s="30">
        <v>299.59809330000002</v>
      </c>
      <c r="O17" s="30">
        <v>295.01600000000002</v>
      </c>
      <c r="P17" s="30">
        <v>258.72862082</v>
      </c>
      <c r="Q17" s="30">
        <v>256.38956080000003</v>
      </c>
      <c r="R17" s="30">
        <v>274.41991418000003</v>
      </c>
      <c r="S17" s="31">
        <v>275.57081535000003</v>
      </c>
      <c r="T17" s="31">
        <v>281.89916399999998</v>
      </c>
      <c r="U17" s="31">
        <f>281700829.56/1000000</f>
        <v>281.70082955999999</v>
      </c>
      <c r="V17" s="31">
        <f>254026998.14/1000000</f>
        <v>254.02699813999999</v>
      </c>
      <c r="W17" s="31">
        <f>318523400.18/1000000</f>
        <v>318.52340018000001</v>
      </c>
      <c r="X17" s="31">
        <f>365833623.52/1000000</f>
        <v>365.83362352</v>
      </c>
      <c r="Y17" s="76">
        <f>382576601.39/1000000</f>
        <v>382.57660139000001</v>
      </c>
      <c r="Z17" s="81">
        <v>371.43486662999999</v>
      </c>
    </row>
    <row r="18" spans="2:26" s="23" customFormat="1" ht="12.75" x14ac:dyDescent="0.2">
      <c r="B18" s="23" t="s">
        <v>187</v>
      </c>
      <c r="C18" s="53" t="s">
        <v>136</v>
      </c>
      <c r="D18" s="57" t="s">
        <v>32</v>
      </c>
      <c r="E18" s="62" t="s">
        <v>187</v>
      </c>
      <c r="F18" s="29">
        <v>479.43499999999995</v>
      </c>
      <c r="G18" s="29">
        <v>509.84607308</v>
      </c>
      <c r="H18" s="29">
        <v>584.60959818000003</v>
      </c>
      <c r="I18" s="29">
        <v>661.41565504999994</v>
      </c>
      <c r="J18" s="29">
        <v>675.48124566999991</v>
      </c>
      <c r="K18" s="29">
        <v>553.07596666999996</v>
      </c>
      <c r="L18" s="29">
        <v>503.34875581999995</v>
      </c>
      <c r="M18" s="29">
        <v>427.01299999999998</v>
      </c>
      <c r="N18" s="29">
        <v>448.26955760999999</v>
      </c>
      <c r="O18" s="30">
        <v>436.68700000000001</v>
      </c>
      <c r="P18" s="32">
        <v>408.26496938000003</v>
      </c>
      <c r="Q18" s="32">
        <v>405.48215277000003</v>
      </c>
      <c r="R18" s="32">
        <v>418.61590847000002</v>
      </c>
      <c r="S18" s="33">
        <v>424.70300125000006</v>
      </c>
      <c r="T18" s="33">
        <f t="shared" ref="T18:Z18" si="0">SUM(T15:T17)</f>
        <v>463.57390028999998</v>
      </c>
      <c r="U18" s="33">
        <f t="shared" si="0"/>
        <v>452.5674894</v>
      </c>
      <c r="V18" s="33">
        <f t="shared" si="0"/>
        <v>408.94013912999998</v>
      </c>
      <c r="W18" s="33">
        <f t="shared" si="0"/>
        <v>501.01394601999999</v>
      </c>
      <c r="X18" s="33">
        <f t="shared" si="0"/>
        <v>578.89049983999996</v>
      </c>
      <c r="Y18" s="33">
        <f t="shared" si="0"/>
        <v>608.27297816999999</v>
      </c>
      <c r="Z18" s="82">
        <f t="shared" si="0"/>
        <v>615.88152104000005</v>
      </c>
    </row>
    <row r="19" spans="2:26" s="23" customFormat="1" ht="12.75" x14ac:dyDescent="0.2">
      <c r="C19" s="27" t="s">
        <v>33</v>
      </c>
      <c r="D19" s="28" t="s">
        <v>34</v>
      </c>
      <c r="F19" s="29"/>
      <c r="G19" s="29"/>
      <c r="H19" s="29"/>
      <c r="I19" s="29"/>
      <c r="J19" s="29"/>
      <c r="K19" s="29"/>
      <c r="L19" s="29"/>
      <c r="M19" s="29"/>
      <c r="N19" s="30"/>
      <c r="O19" s="30"/>
      <c r="P19" s="30"/>
      <c r="Q19" s="30"/>
      <c r="R19" s="30"/>
      <c r="S19" s="31"/>
      <c r="T19" s="31"/>
      <c r="U19" s="31"/>
      <c r="V19" s="31"/>
      <c r="W19" s="31"/>
      <c r="Y19" s="76"/>
      <c r="Z19" s="80"/>
    </row>
    <row r="20" spans="2:26" s="23" customFormat="1" ht="12.75" x14ac:dyDescent="0.2">
      <c r="B20" s="23" t="s">
        <v>188</v>
      </c>
      <c r="C20" s="53" t="s">
        <v>35</v>
      </c>
      <c r="D20" s="56" t="s">
        <v>36</v>
      </c>
      <c r="E20" s="62" t="s">
        <v>188</v>
      </c>
      <c r="F20" s="29">
        <v>4.6159999999999997</v>
      </c>
      <c r="G20" s="29">
        <v>4.6481120000000002</v>
      </c>
      <c r="H20" s="29">
        <v>4.6481120000000002</v>
      </c>
      <c r="I20" s="29">
        <v>4.6481120000000002</v>
      </c>
      <c r="J20" s="29">
        <v>4.6481120000000002</v>
      </c>
      <c r="K20" s="29">
        <v>4.6481120000000002</v>
      </c>
      <c r="L20" s="29">
        <v>4.6481120000000002</v>
      </c>
      <c r="M20" s="29">
        <v>4.6481120000000002</v>
      </c>
      <c r="N20" s="30">
        <v>4.6481120000000002</v>
      </c>
      <c r="O20" s="30">
        <v>4.6481120000000002</v>
      </c>
      <c r="P20" s="30">
        <v>4.6481120000000002</v>
      </c>
      <c r="Q20" s="30">
        <v>4.6481120000000002</v>
      </c>
      <c r="R20" s="30">
        <v>4.6481120000000002</v>
      </c>
      <c r="S20" s="31">
        <v>4.6481120000000002</v>
      </c>
      <c r="T20" s="31">
        <v>4.6481120000000002</v>
      </c>
      <c r="U20" s="31">
        <f>4648112/1000000</f>
        <v>4.6481120000000002</v>
      </c>
      <c r="V20" s="31">
        <f>4648112/1000000</f>
        <v>4.6481120000000002</v>
      </c>
      <c r="W20" s="31">
        <f>4648112/1000000</f>
        <v>4.6481120000000002</v>
      </c>
      <c r="X20" s="31">
        <f>4648112/1000000</f>
        <v>4.6481120000000002</v>
      </c>
      <c r="Y20" s="76">
        <f>4648112/1000000</f>
        <v>4.6481120000000002</v>
      </c>
      <c r="Z20" s="81">
        <v>4.6481120000000002</v>
      </c>
    </row>
    <row r="21" spans="2:26" s="23" customFormat="1" ht="25.5" x14ac:dyDescent="0.2">
      <c r="B21" s="23" t="s">
        <v>189</v>
      </c>
      <c r="C21" s="53" t="s">
        <v>37</v>
      </c>
      <c r="D21" s="58" t="s">
        <v>38</v>
      </c>
      <c r="E21" s="62" t="s">
        <v>189</v>
      </c>
      <c r="F21" s="29">
        <v>17.039000000000001</v>
      </c>
      <c r="G21" s="29">
        <v>19.79826061</v>
      </c>
      <c r="H21" s="29">
        <v>22.768879609999999</v>
      </c>
      <c r="I21" s="29">
        <v>22.468237970000001</v>
      </c>
      <c r="J21" s="29">
        <v>24.516284629999998</v>
      </c>
      <c r="K21" s="29">
        <v>24.974916309999998</v>
      </c>
      <c r="L21" s="29">
        <v>25.231547039999999</v>
      </c>
      <c r="M21" s="29">
        <v>24.135000000000002</v>
      </c>
      <c r="N21" s="30">
        <v>25.66033303</v>
      </c>
      <c r="O21" s="30">
        <v>22.655999999999999</v>
      </c>
      <c r="P21" s="30">
        <v>21.783226800000001</v>
      </c>
      <c r="Q21" s="30">
        <v>22.10703827</v>
      </c>
      <c r="R21" s="30">
        <v>21.931182809999999</v>
      </c>
      <c r="S21" s="31">
        <v>20.547287710000003</v>
      </c>
      <c r="T21" s="31">
        <v>20.330098</v>
      </c>
      <c r="U21" s="31">
        <f>19930381.1/1000000</f>
        <v>19.930381100000002</v>
      </c>
      <c r="V21" s="31">
        <f>19026247.96/1000000</f>
        <v>19.026247959999999</v>
      </c>
      <c r="W21" s="31">
        <f>19893365.6/1000000</f>
        <v>19.893365600000003</v>
      </c>
      <c r="X21" s="31">
        <f>22169360.54/1000000</f>
        <v>22.16936054</v>
      </c>
      <c r="Y21" s="76">
        <f>21910572.92/1000000</f>
        <v>21.910572920000003</v>
      </c>
      <c r="Z21" s="81">
        <v>23.315629359999999</v>
      </c>
    </row>
    <row r="22" spans="2:26" s="23" customFormat="1" ht="12.75" x14ac:dyDescent="0.2">
      <c r="B22" s="23" t="s">
        <v>190</v>
      </c>
      <c r="C22" s="53" t="s">
        <v>39</v>
      </c>
      <c r="D22" s="56" t="s">
        <v>40</v>
      </c>
      <c r="E22" s="62" t="s">
        <v>190</v>
      </c>
      <c r="F22" s="29">
        <v>12.271000000000001</v>
      </c>
      <c r="G22" s="29">
        <v>5.8081917499999998</v>
      </c>
      <c r="H22" s="29">
        <v>5.8725400800000003</v>
      </c>
      <c r="I22" s="29">
        <v>7.1759920300000006</v>
      </c>
      <c r="J22" s="29">
        <v>5.9835875999999999</v>
      </c>
      <c r="K22" s="29">
        <v>11.93033063</v>
      </c>
      <c r="L22" s="29">
        <v>8.9207194899999998</v>
      </c>
      <c r="M22" s="29">
        <v>8.3070000000000004</v>
      </c>
      <c r="N22" s="30">
        <v>9.1638396499999999</v>
      </c>
      <c r="O22" s="30">
        <v>11.19</v>
      </c>
      <c r="P22" s="30">
        <v>18.02156879</v>
      </c>
      <c r="Q22" s="30">
        <v>12.511786650000001</v>
      </c>
      <c r="R22" s="30">
        <v>23.32175372</v>
      </c>
      <c r="S22" s="31">
        <v>18.079177999999999</v>
      </c>
      <c r="T22" s="31">
        <v>13.666867999999999</v>
      </c>
      <c r="U22" s="31">
        <f>34270324.77/1000000</f>
        <v>34.270324770000002</v>
      </c>
      <c r="V22" s="31">
        <f>21730481.04/1000000</f>
        <v>21.730481040000001</v>
      </c>
      <c r="W22" s="31">
        <f>11682962.42/1000000</f>
        <v>11.682962419999999</v>
      </c>
      <c r="X22" s="31">
        <f>31367521.422/1000000</f>
        <v>31.367521421999999</v>
      </c>
      <c r="Y22" s="76">
        <f>23305539.27/1000000</f>
        <v>23.305539270000001</v>
      </c>
      <c r="Z22" s="81">
        <v>19.15022063</v>
      </c>
    </row>
    <row r="23" spans="2:26" s="23" customFormat="1" ht="12.75" x14ac:dyDescent="0.2">
      <c r="B23" s="23" t="s">
        <v>191</v>
      </c>
      <c r="C23" s="53" t="s">
        <v>41</v>
      </c>
      <c r="D23" s="56" t="s">
        <v>42</v>
      </c>
      <c r="E23" s="62" t="s">
        <v>191</v>
      </c>
      <c r="F23" s="29">
        <v>9.81</v>
      </c>
      <c r="G23" s="29">
        <v>9.7907762899999984</v>
      </c>
      <c r="H23" s="29">
        <v>11.35675505</v>
      </c>
      <c r="I23" s="29">
        <v>10.93455657</v>
      </c>
      <c r="J23" s="29">
        <v>11.18641886</v>
      </c>
      <c r="K23" s="29">
        <v>11.391490619999999</v>
      </c>
      <c r="L23" s="29">
        <v>12.24572774</v>
      </c>
      <c r="M23" s="29">
        <v>13.782</v>
      </c>
      <c r="N23" s="30">
        <v>10.41058821</v>
      </c>
      <c r="O23" s="30">
        <v>10.333</v>
      </c>
      <c r="P23" s="30">
        <v>7.3182380899999995</v>
      </c>
      <c r="Q23" s="30">
        <v>8.1861297300000011</v>
      </c>
      <c r="R23" s="30">
        <v>7.2382688000000002</v>
      </c>
      <c r="S23" s="31">
        <v>8.0140109900000009</v>
      </c>
      <c r="T23" s="31">
        <f>8860281.85/1000000</f>
        <v>8.8602818499999998</v>
      </c>
      <c r="U23" s="31">
        <f>7982707.87/1000000</f>
        <v>7.9827078700000005</v>
      </c>
      <c r="V23" s="31">
        <f>6707369.89/1000000</f>
        <v>6.7073698899999998</v>
      </c>
      <c r="W23" s="31">
        <f>16124543.96/1000000</f>
        <v>16.12454396</v>
      </c>
      <c r="X23" s="31">
        <f>13736594.9/1000000</f>
        <v>13.7365949</v>
      </c>
      <c r="Y23" s="76">
        <f>17507193.05/1000000</f>
        <v>17.507193050000001</v>
      </c>
      <c r="Z23" s="81">
        <v>14.920440640000001</v>
      </c>
    </row>
    <row r="24" spans="2:26" s="23" customFormat="1" ht="12.75" x14ac:dyDescent="0.2">
      <c r="B24" s="23" t="s">
        <v>192</v>
      </c>
      <c r="C24" s="53" t="s">
        <v>43</v>
      </c>
      <c r="D24" s="56" t="s">
        <v>44</v>
      </c>
      <c r="E24" s="62" t="s">
        <v>192</v>
      </c>
      <c r="F24" s="29">
        <v>0.69899999999999995</v>
      </c>
      <c r="G24" s="29">
        <v>1.8499860700000001</v>
      </c>
      <c r="H24" s="29">
        <v>0.66197861000000002</v>
      </c>
      <c r="I24" s="29">
        <v>1.65128125</v>
      </c>
      <c r="J24" s="29">
        <v>2.64822048</v>
      </c>
      <c r="K24" s="29">
        <v>1.82173629</v>
      </c>
      <c r="L24" s="29">
        <v>2.5513308599999998</v>
      </c>
      <c r="M24" s="29">
        <v>3.9740000000000002</v>
      </c>
      <c r="N24" s="30">
        <v>10.926505199999999</v>
      </c>
      <c r="O24" s="30">
        <v>1.5169999999999999</v>
      </c>
      <c r="P24" s="30">
        <v>10.049383890000001</v>
      </c>
      <c r="Q24" s="30">
        <v>9.1210524999999993</v>
      </c>
      <c r="R24" s="30">
        <v>9.6347508699999995</v>
      </c>
      <c r="S24" s="31">
        <v>8.3245493800000006</v>
      </c>
      <c r="T24" s="31">
        <v>7.5231729999999999</v>
      </c>
      <c r="U24" s="31">
        <f>7407898.77/1000000</f>
        <v>7.4078987699999992</v>
      </c>
      <c r="V24" s="31">
        <f>30761907.1/1000000</f>
        <v>30.761907100000002</v>
      </c>
      <c r="W24" s="31">
        <f>7492644.05/1000000</f>
        <v>7.49264405</v>
      </c>
      <c r="X24" s="31">
        <f>4790152.43/1000000</f>
        <v>4.79015243</v>
      </c>
      <c r="Y24" s="76">
        <f>6347133.97/1000000</f>
        <v>6.3471339699999998</v>
      </c>
      <c r="Z24" s="81">
        <v>20.554445090000002</v>
      </c>
    </row>
    <row r="25" spans="2:26" s="23" customFormat="1" ht="12.75" x14ac:dyDescent="0.2">
      <c r="B25" s="23" t="s">
        <v>193</v>
      </c>
      <c r="C25" s="53" t="s">
        <v>45</v>
      </c>
      <c r="D25" s="56" t="s">
        <v>46</v>
      </c>
      <c r="E25" s="62" t="s">
        <v>193</v>
      </c>
      <c r="F25" s="29">
        <v>24.824000000000002</v>
      </c>
      <c r="G25" s="29">
        <v>23.061956479999999</v>
      </c>
      <c r="H25" s="29">
        <v>13.89196866</v>
      </c>
      <c r="I25" s="29">
        <v>14.363720039999999</v>
      </c>
      <c r="J25" s="29">
        <v>12.184883210000001</v>
      </c>
      <c r="K25" s="29">
        <v>13.136134949999999</v>
      </c>
      <c r="L25" s="29">
        <v>16.070428669999998</v>
      </c>
      <c r="M25" s="29">
        <v>14.083</v>
      </c>
      <c r="N25" s="30">
        <v>12.786738</v>
      </c>
      <c r="O25" s="30">
        <v>12.257</v>
      </c>
      <c r="P25" s="30">
        <v>4.8035601400000001</v>
      </c>
      <c r="Q25" s="30">
        <v>7.5009429599999997</v>
      </c>
      <c r="R25" s="30">
        <v>11.990335999999999</v>
      </c>
      <c r="S25" s="31">
        <v>18.770473800000001</v>
      </c>
      <c r="T25" s="31">
        <v>20.123318000000001</v>
      </c>
      <c r="U25" s="31">
        <f>8440465.23/1000000</f>
        <v>8.4404652300000009</v>
      </c>
      <c r="V25" s="31">
        <f>5565272.12/1000000</f>
        <v>5.5652721200000004</v>
      </c>
      <c r="W25" s="31">
        <f>7273795.75/1000000</f>
        <v>7.2737957499999997</v>
      </c>
      <c r="X25" s="31">
        <f>2314268.67/1000000</f>
        <v>2.3142686700000001</v>
      </c>
      <c r="Y25" s="76">
        <f>8172159.17/1000000</f>
        <v>8.1721591700000005</v>
      </c>
      <c r="Z25" s="81">
        <v>7.4583380300000002</v>
      </c>
    </row>
    <row r="26" spans="2:26" s="23" customFormat="1" ht="12.75" x14ac:dyDescent="0.2">
      <c r="B26" s="23" t="s">
        <v>194</v>
      </c>
      <c r="C26" s="53" t="s">
        <v>47</v>
      </c>
      <c r="D26" s="56" t="s">
        <v>48</v>
      </c>
      <c r="E26" s="62" t="s">
        <v>194</v>
      </c>
      <c r="F26" s="29">
        <v>1.792</v>
      </c>
      <c r="G26" s="29">
        <v>1.7854636000000002</v>
      </c>
      <c r="H26" s="29">
        <v>2.7361916499999999</v>
      </c>
      <c r="I26" s="29">
        <v>4.5058425099999999</v>
      </c>
      <c r="J26" s="29">
        <v>5.5857499900000001</v>
      </c>
      <c r="K26" s="29">
        <v>2.3799114599999998</v>
      </c>
      <c r="L26" s="29">
        <v>1.4872528</v>
      </c>
      <c r="M26" s="29">
        <v>1.9750000000000001</v>
      </c>
      <c r="N26" s="30">
        <v>1.69138107</v>
      </c>
      <c r="O26" s="30">
        <v>1.226</v>
      </c>
      <c r="P26" s="30">
        <v>1.7837438000000001</v>
      </c>
      <c r="Q26" s="30">
        <v>2.8304588500000003</v>
      </c>
      <c r="R26" s="30">
        <v>6.7178811300000003</v>
      </c>
      <c r="S26" s="31">
        <v>3.5449115299999998</v>
      </c>
      <c r="T26" s="31">
        <v>3.0220069999999999</v>
      </c>
      <c r="U26" s="31">
        <f>2125561.16/1000000</f>
        <v>2.1255611600000002</v>
      </c>
      <c r="V26" s="31">
        <f>1608844.31/1000000</f>
        <v>1.6088443100000001</v>
      </c>
      <c r="W26" s="31">
        <f>852750.26/1000000</f>
        <v>0.85275025999999998</v>
      </c>
      <c r="X26" s="31">
        <f>1451774.7/1000000</f>
        <v>1.4517746999999999</v>
      </c>
      <c r="Y26" s="76">
        <f>1459776.42/1000000</f>
        <v>1.4597764199999999</v>
      </c>
      <c r="Z26" s="81">
        <v>2.2339740699999999</v>
      </c>
    </row>
    <row r="27" spans="2:26" s="23" customFormat="1" ht="12.75" x14ac:dyDescent="0.2">
      <c r="B27" s="23" t="s">
        <v>195</v>
      </c>
      <c r="C27" s="53" t="s">
        <v>49</v>
      </c>
      <c r="D27" s="56" t="s">
        <v>50</v>
      </c>
      <c r="E27" s="62" t="s">
        <v>195</v>
      </c>
      <c r="F27" s="29">
        <v>4.6079999999999997</v>
      </c>
      <c r="G27" s="29">
        <v>6.6105291799999994</v>
      </c>
      <c r="H27" s="29">
        <v>4.6034757199999996</v>
      </c>
      <c r="I27" s="29">
        <v>4.8241819499999998</v>
      </c>
      <c r="J27" s="29">
        <v>4.9982651799999998</v>
      </c>
      <c r="K27" s="29">
        <v>5.4450553299999997</v>
      </c>
      <c r="L27" s="29">
        <v>5.0806096100000007</v>
      </c>
      <c r="M27" s="29">
        <v>6.0140000000000002</v>
      </c>
      <c r="N27" s="30">
        <v>5.9094703099999997</v>
      </c>
      <c r="O27" s="30">
        <v>6.3760000000000003</v>
      </c>
      <c r="P27" s="30">
        <v>5.0012880499999994</v>
      </c>
      <c r="Q27" s="30">
        <v>5.0044023300000005</v>
      </c>
      <c r="R27" s="30">
        <v>5.5272184500000003</v>
      </c>
      <c r="S27" s="31">
        <v>4.7077110800000002</v>
      </c>
      <c r="T27" s="31">
        <v>4.5564869999999997</v>
      </c>
      <c r="U27" s="31">
        <f>4982851.12/1000000</f>
        <v>4.9828511200000003</v>
      </c>
      <c r="V27" s="31">
        <f>6120559.72/1000000</f>
        <v>6.1205597200000001</v>
      </c>
      <c r="W27" s="31">
        <f>5089097.22/1000000</f>
        <v>5.0890972199999993</v>
      </c>
      <c r="X27" s="31">
        <f>8590420.54/1000000</f>
        <v>8.5904205399999984</v>
      </c>
      <c r="Y27" s="76">
        <f>4952660.34/1000000</f>
        <v>4.9526603399999996</v>
      </c>
      <c r="Z27" s="81">
        <v>5.5197794699999996</v>
      </c>
    </row>
    <row r="28" spans="2:26" s="23" customFormat="1" ht="12.75" x14ac:dyDescent="0.2">
      <c r="B28" s="23" t="s">
        <v>196</v>
      </c>
      <c r="C28" s="53" t="s">
        <v>137</v>
      </c>
      <c r="D28" s="57" t="s">
        <v>51</v>
      </c>
      <c r="E28" s="62" t="s">
        <v>196</v>
      </c>
      <c r="F28" s="29">
        <v>75.659000000000006</v>
      </c>
      <c r="G28" s="29">
        <v>73.353275980000006</v>
      </c>
      <c r="H28" s="29">
        <v>66.539901380000003</v>
      </c>
      <c r="I28" s="29">
        <v>70.571924319999994</v>
      </c>
      <c r="J28" s="29">
        <v>71.751521949999997</v>
      </c>
      <c r="K28" s="29">
        <v>75.727687590000002</v>
      </c>
      <c r="L28" s="29">
        <v>76.235728209999991</v>
      </c>
      <c r="M28" s="29">
        <v>76.918111999999994</v>
      </c>
      <c r="N28" s="29">
        <v>81.196967470000018</v>
      </c>
      <c r="O28" s="30">
        <v>70.203112000000004</v>
      </c>
      <c r="P28" s="32">
        <v>73.409121560000003</v>
      </c>
      <c r="Q28" s="32">
        <v>71.909923290000009</v>
      </c>
      <c r="R28" s="32">
        <v>91.009503780000003</v>
      </c>
      <c r="S28" s="33">
        <v>86.636234489999993</v>
      </c>
      <c r="T28" s="33">
        <f t="shared" ref="T28:Z28" si="1">SUM(T20:T27)</f>
        <v>82.730344850000009</v>
      </c>
      <c r="U28" s="33">
        <f t="shared" si="1"/>
        <v>89.788302020000017</v>
      </c>
      <c r="V28" s="33">
        <f t="shared" si="1"/>
        <v>96.168794140000003</v>
      </c>
      <c r="W28" s="33">
        <f t="shared" si="1"/>
        <v>73.057271259999993</v>
      </c>
      <c r="X28" s="33">
        <f t="shared" si="1"/>
        <v>89.068205202000001</v>
      </c>
      <c r="Y28" s="33">
        <f t="shared" si="1"/>
        <v>88.303147139999993</v>
      </c>
      <c r="Z28" s="82">
        <f t="shared" si="1"/>
        <v>97.800939290000017</v>
      </c>
    </row>
    <row r="29" spans="2:26" s="23" customFormat="1" ht="25.5" x14ac:dyDescent="0.2">
      <c r="C29" s="27" t="s">
        <v>52</v>
      </c>
      <c r="D29" s="34" t="s">
        <v>53</v>
      </c>
      <c r="F29" s="29"/>
      <c r="G29" s="29"/>
      <c r="H29" s="29"/>
      <c r="I29" s="29"/>
      <c r="J29" s="29"/>
      <c r="K29" s="29"/>
      <c r="L29" s="29"/>
      <c r="M29" s="29"/>
      <c r="N29" s="30"/>
      <c r="O29" s="30"/>
      <c r="P29" s="30"/>
      <c r="Q29" s="30"/>
      <c r="R29" s="30"/>
      <c r="S29" s="31"/>
      <c r="T29" s="31"/>
      <c r="U29" s="31"/>
      <c r="V29" s="31"/>
      <c r="W29" s="31"/>
      <c r="Y29" s="76"/>
      <c r="Z29" s="80"/>
    </row>
    <row r="30" spans="2:26" s="23" customFormat="1" ht="12.75" x14ac:dyDescent="0.2">
      <c r="B30" s="23" t="s">
        <v>197</v>
      </c>
      <c r="C30" s="53" t="s">
        <v>54</v>
      </c>
      <c r="D30" s="56" t="s">
        <v>55</v>
      </c>
      <c r="E30" s="62" t="s">
        <v>197</v>
      </c>
      <c r="F30" s="29">
        <v>7.0010000000000003</v>
      </c>
      <c r="G30" s="29">
        <v>3.6371436500000001</v>
      </c>
      <c r="H30" s="29">
        <v>1.89432819</v>
      </c>
      <c r="I30" s="29">
        <v>0.56745798000000003</v>
      </c>
      <c r="J30" s="29">
        <v>2.6063894799999998</v>
      </c>
      <c r="K30" s="29">
        <v>0.96497390999999999</v>
      </c>
      <c r="L30" s="29">
        <v>0.67356971999999993</v>
      </c>
      <c r="M30" s="29">
        <v>0.36199999999999999</v>
      </c>
      <c r="N30" s="30">
        <v>0.19777194000000001</v>
      </c>
      <c r="O30" s="30">
        <v>0.184</v>
      </c>
      <c r="P30" s="30">
        <v>0.33215158</v>
      </c>
      <c r="Q30" s="30">
        <v>0.89888857999999994</v>
      </c>
      <c r="R30" s="30">
        <v>1.4581873400000001</v>
      </c>
      <c r="S30" s="31">
        <v>0.16883789999999999</v>
      </c>
      <c r="T30" s="31">
        <v>0.40624399999999999</v>
      </c>
      <c r="U30" s="31">
        <f>23991.52/1000000</f>
        <v>2.3991519999999999E-2</v>
      </c>
      <c r="V30" s="31">
        <f>20755.54/1000000</f>
        <v>2.0755539999999999E-2</v>
      </c>
      <c r="W30" s="31">
        <f>1068112.65/1000000</f>
        <v>1.06811265</v>
      </c>
      <c r="X30" s="31">
        <f>227677.95/1000000</f>
        <v>0.22767795000000002</v>
      </c>
      <c r="Y30" s="76">
        <f>287630.88/1000000</f>
        <v>0.28763087999999998</v>
      </c>
      <c r="Z30" s="81">
        <v>6.5717600000000001E-2</v>
      </c>
    </row>
    <row r="31" spans="2:26" s="23" customFormat="1" ht="12.75" x14ac:dyDescent="0.2">
      <c r="B31" s="23" t="s">
        <v>198</v>
      </c>
      <c r="C31" s="53" t="s">
        <v>56</v>
      </c>
      <c r="D31" s="56" t="s">
        <v>57</v>
      </c>
      <c r="E31" s="66" t="s">
        <v>198</v>
      </c>
      <c r="F31" s="29"/>
      <c r="G31" s="29"/>
      <c r="H31" s="29"/>
      <c r="I31" s="29"/>
      <c r="J31" s="29"/>
      <c r="K31" s="29"/>
      <c r="L31" s="29"/>
      <c r="M31" s="29"/>
      <c r="N31" s="30"/>
      <c r="O31" s="30">
        <v>0</v>
      </c>
      <c r="P31" s="30">
        <v>0</v>
      </c>
      <c r="Q31" s="30">
        <v>0</v>
      </c>
      <c r="R31" s="30">
        <v>0</v>
      </c>
      <c r="S31" s="31">
        <v>0</v>
      </c>
      <c r="T31" s="31">
        <v>0</v>
      </c>
      <c r="U31" s="31">
        <f>4835982.21/1000000</f>
        <v>4.8359822100000001</v>
      </c>
      <c r="V31" s="31">
        <v>0</v>
      </c>
      <c r="W31" s="31">
        <v>0</v>
      </c>
      <c r="X31" s="31">
        <v>0</v>
      </c>
      <c r="Y31" s="76">
        <v>0</v>
      </c>
      <c r="Z31" s="81">
        <v>0</v>
      </c>
    </row>
    <row r="32" spans="2:26" s="23" customFormat="1" ht="12.75" x14ac:dyDescent="0.2">
      <c r="B32" s="23" t="s">
        <v>199</v>
      </c>
      <c r="C32" s="53" t="s">
        <v>58</v>
      </c>
      <c r="D32" s="56" t="s">
        <v>59</v>
      </c>
      <c r="E32" s="62" t="s">
        <v>199</v>
      </c>
      <c r="F32" s="29">
        <v>6.0000000000000001E-3</v>
      </c>
      <c r="G32" s="29">
        <v>4.5997600000000005E-3</v>
      </c>
      <c r="H32" s="29">
        <v>1.82E-3</v>
      </c>
      <c r="I32" s="29">
        <v>2.5000000000000001E-2</v>
      </c>
      <c r="J32" s="29">
        <v>3.3159999999999999E-3</v>
      </c>
      <c r="K32" s="29">
        <v>2.2327499999999999E-3</v>
      </c>
      <c r="L32" s="29">
        <v>2.0166219999999999E-2</v>
      </c>
      <c r="M32" s="29">
        <v>3.9E-2</v>
      </c>
      <c r="N32" s="30">
        <v>2.2000000000000001E-4</v>
      </c>
      <c r="O32" s="30">
        <v>3.0000000000000001E-3</v>
      </c>
      <c r="P32" s="30">
        <v>2.4355547500000001</v>
      </c>
      <c r="Q32" s="30">
        <v>5.4333339999999994E-2</v>
      </c>
      <c r="R32" s="30">
        <v>0.10985803</v>
      </c>
      <c r="S32" s="31">
        <v>40.452365829999998</v>
      </c>
      <c r="T32" s="31">
        <v>35.206831000000001</v>
      </c>
      <c r="U32" s="31">
        <f>78501/1000000</f>
        <v>7.8501000000000001E-2</v>
      </c>
      <c r="V32" s="31">
        <f>10502/1000000</f>
        <v>1.0501999999999999E-2</v>
      </c>
      <c r="W32" s="31">
        <f>1100/1000000</f>
        <v>1.1000000000000001E-3</v>
      </c>
      <c r="X32" s="31">
        <f>61866.67/1000000</f>
        <v>6.1866669999999999E-2</v>
      </c>
      <c r="Y32" s="76">
        <f>7160/1000000</f>
        <v>7.1599999999999997E-3</v>
      </c>
      <c r="Z32" s="81">
        <v>9.3799999999999994E-3</v>
      </c>
    </row>
    <row r="33" spans="2:26" s="23" customFormat="1" ht="12.75" x14ac:dyDescent="0.2">
      <c r="B33" s="23" t="s">
        <v>200</v>
      </c>
      <c r="C33" s="53" t="s">
        <v>60</v>
      </c>
      <c r="D33" s="56" t="s">
        <v>61</v>
      </c>
      <c r="E33" s="62" t="s">
        <v>200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76">
        <v>0</v>
      </c>
      <c r="Z33" s="81">
        <v>0</v>
      </c>
    </row>
    <row r="34" spans="2:26" s="23" customFormat="1" ht="12.75" x14ac:dyDescent="0.2">
      <c r="B34" s="23" t="s">
        <v>201</v>
      </c>
      <c r="C34" s="53" t="s">
        <v>138</v>
      </c>
      <c r="D34" s="57" t="s">
        <v>62</v>
      </c>
      <c r="E34" s="62" t="s">
        <v>201</v>
      </c>
      <c r="F34" s="29">
        <v>7.0070000000000006</v>
      </c>
      <c r="G34" s="29">
        <v>3.6417434100000001</v>
      </c>
      <c r="H34" s="29">
        <v>1.8961481899999999</v>
      </c>
      <c r="I34" s="29">
        <v>0.59245798000000005</v>
      </c>
      <c r="J34" s="29">
        <v>2.6097054799999997</v>
      </c>
      <c r="K34" s="29">
        <v>0.96720666</v>
      </c>
      <c r="L34" s="29">
        <v>0.69373593999999994</v>
      </c>
      <c r="M34" s="29">
        <v>0.40099999999999997</v>
      </c>
      <c r="N34" s="29">
        <v>0.19799194000000001</v>
      </c>
      <c r="O34" s="30">
        <v>0.187</v>
      </c>
      <c r="P34" s="32">
        <v>2.7677063300000002</v>
      </c>
      <c r="Q34" s="32">
        <v>0.95322191999999994</v>
      </c>
      <c r="R34" s="32">
        <v>1.5680453700000001</v>
      </c>
      <c r="S34" s="33">
        <v>40.621203729999998</v>
      </c>
      <c r="T34" s="33">
        <f t="shared" ref="T34:Y34" si="2">SUM(T30:T33)</f>
        <v>35.613075000000002</v>
      </c>
      <c r="U34" s="33">
        <f t="shared" si="2"/>
        <v>4.9384747300000003</v>
      </c>
      <c r="V34" s="33">
        <f t="shared" si="2"/>
        <v>3.125754E-2</v>
      </c>
      <c r="W34" s="33">
        <f t="shared" si="2"/>
        <v>1.0692126500000001</v>
      </c>
      <c r="X34" s="33">
        <f t="shared" si="2"/>
        <v>0.28954462000000003</v>
      </c>
      <c r="Y34" s="33">
        <f t="shared" si="2"/>
        <v>0.29479087999999998</v>
      </c>
      <c r="Z34" s="82">
        <f t="shared" ref="Z34" si="3">SUM(Z30:Z33)</f>
        <v>7.50976E-2</v>
      </c>
    </row>
    <row r="35" spans="2:26" s="23" customFormat="1" ht="13.5" x14ac:dyDescent="0.2">
      <c r="B35" s="23" t="s">
        <v>202</v>
      </c>
      <c r="C35" s="27" t="s">
        <v>148</v>
      </c>
      <c r="D35" s="55" t="s">
        <v>63</v>
      </c>
      <c r="E35" s="62" t="s">
        <v>202</v>
      </c>
      <c r="F35" s="29">
        <v>562.10099999999989</v>
      </c>
      <c r="G35" s="29">
        <v>586.84109247000004</v>
      </c>
      <c r="H35" s="29">
        <v>653.04564775000006</v>
      </c>
      <c r="I35" s="29">
        <v>732.58003734999988</v>
      </c>
      <c r="J35" s="29">
        <v>749.84247309999989</v>
      </c>
      <c r="K35" s="29">
        <v>629.7708609199999</v>
      </c>
      <c r="L35" s="29">
        <v>580.2782199699999</v>
      </c>
      <c r="M35" s="29">
        <v>504.332112</v>
      </c>
      <c r="N35" s="29">
        <v>529.66451701999995</v>
      </c>
      <c r="O35" s="30">
        <v>507.07711200000006</v>
      </c>
      <c r="P35" s="32">
        <v>484.44179727000005</v>
      </c>
      <c r="Q35" s="32">
        <v>478.34529798</v>
      </c>
      <c r="R35" s="32">
        <v>511.19345762</v>
      </c>
      <c r="S35" s="33">
        <v>551.9604394700001</v>
      </c>
      <c r="T35" s="33">
        <f t="shared" ref="T35:Y35" si="4">T18+T28+T34</f>
        <v>581.91732014000002</v>
      </c>
      <c r="U35" s="33">
        <f t="shared" si="4"/>
        <v>547.29426615000011</v>
      </c>
      <c r="V35" s="33">
        <f t="shared" si="4"/>
        <v>505.14019080999998</v>
      </c>
      <c r="W35" s="33">
        <f t="shared" si="4"/>
        <v>575.14042992999998</v>
      </c>
      <c r="X35" s="33">
        <f t="shared" si="4"/>
        <v>668.24824966200003</v>
      </c>
      <c r="Y35" s="33">
        <f t="shared" si="4"/>
        <v>696.87091619</v>
      </c>
      <c r="Z35" s="82">
        <f t="shared" ref="Z35" si="5">Z18+Z28+Z34</f>
        <v>713.75755793000008</v>
      </c>
    </row>
    <row r="36" spans="2:26" s="23" customFormat="1" ht="12.75" x14ac:dyDescent="0.2">
      <c r="C36" s="27" t="s">
        <v>64</v>
      </c>
      <c r="D36" s="28" t="s">
        <v>65</v>
      </c>
      <c r="F36" s="29"/>
      <c r="G36" s="29"/>
      <c r="H36" s="29"/>
      <c r="I36" s="29"/>
      <c r="J36" s="29"/>
      <c r="K36" s="29"/>
      <c r="L36" s="29"/>
      <c r="M36" s="29"/>
      <c r="N36" s="30"/>
      <c r="O36" s="30"/>
      <c r="P36" s="30"/>
      <c r="Q36" s="30"/>
      <c r="R36" s="30"/>
      <c r="S36" s="31"/>
      <c r="T36" s="31"/>
      <c r="U36" s="31"/>
      <c r="V36" s="31"/>
      <c r="W36" s="31"/>
      <c r="Y36" s="76"/>
      <c r="Z36" s="80"/>
    </row>
    <row r="37" spans="2:26" s="23" customFormat="1" ht="12.75" x14ac:dyDescent="0.2">
      <c r="B37" s="23" t="s">
        <v>203</v>
      </c>
      <c r="C37" s="53" t="s">
        <v>66</v>
      </c>
      <c r="D37" s="56" t="s">
        <v>67</v>
      </c>
      <c r="E37" s="62" t="s">
        <v>203</v>
      </c>
      <c r="F37" s="29"/>
      <c r="G37" s="29"/>
      <c r="H37" s="29"/>
      <c r="I37" s="29"/>
      <c r="J37" s="29"/>
      <c r="K37" s="29"/>
      <c r="L37" s="29"/>
      <c r="M37" s="29"/>
      <c r="N37" s="30"/>
      <c r="O37" s="30">
        <v>85</v>
      </c>
      <c r="P37" s="30">
        <v>0</v>
      </c>
      <c r="Q37" s="30">
        <v>40</v>
      </c>
      <c r="R37" s="30">
        <v>10</v>
      </c>
      <c r="S37" s="31">
        <v>0</v>
      </c>
      <c r="T37" s="31">
        <v>34</v>
      </c>
      <c r="U37" s="31">
        <v>0</v>
      </c>
      <c r="V37" s="31">
        <f>160000000/1000000</f>
        <v>160</v>
      </c>
      <c r="W37" s="31">
        <f>340000000/1000000</f>
        <v>340</v>
      </c>
      <c r="X37" s="31">
        <f>50000000/1000000</f>
        <v>50</v>
      </c>
      <c r="Y37" s="76">
        <f>400000000/1000000</f>
        <v>400</v>
      </c>
      <c r="Z37" s="81">
        <v>50</v>
      </c>
    </row>
    <row r="38" spans="2:26" s="23" customFormat="1" ht="12.75" x14ac:dyDescent="0.2">
      <c r="B38" s="23" t="s">
        <v>204</v>
      </c>
      <c r="C38" s="53" t="s">
        <v>68</v>
      </c>
      <c r="D38" s="56" t="s">
        <v>69</v>
      </c>
      <c r="E38" s="62" t="s">
        <v>204</v>
      </c>
      <c r="F38" s="29">
        <v>0</v>
      </c>
      <c r="G38" s="29">
        <v>0</v>
      </c>
      <c r="H38" s="29">
        <v>2.2256499999999999</v>
      </c>
      <c r="I38" s="29">
        <v>4.0043499999999996</v>
      </c>
      <c r="J38" s="29">
        <v>4.0999999999999996</v>
      </c>
      <c r="K38" s="29">
        <v>3.5</v>
      </c>
      <c r="L38" s="29">
        <v>0.66999999999999993</v>
      </c>
      <c r="M38" s="29">
        <v>0</v>
      </c>
      <c r="N38" s="30">
        <v>60</v>
      </c>
      <c r="O38" s="30">
        <v>0</v>
      </c>
      <c r="P38" s="30">
        <v>0</v>
      </c>
      <c r="Q38" s="30">
        <v>0</v>
      </c>
      <c r="R38" s="30">
        <v>0</v>
      </c>
      <c r="S38" s="31">
        <v>1.5</v>
      </c>
      <c r="T38" s="31">
        <v>1.5</v>
      </c>
      <c r="U38" s="31">
        <f>4000000/1000000</f>
        <v>4</v>
      </c>
      <c r="V38" s="31">
        <f>1500000/1000000</f>
        <v>1.5</v>
      </c>
      <c r="W38" s="31">
        <f>23858977.94/1000000</f>
        <v>23.858977940000003</v>
      </c>
      <c r="X38" s="31">
        <f>0/1000000</f>
        <v>0</v>
      </c>
      <c r="Y38" s="76">
        <v>0</v>
      </c>
      <c r="Z38" s="81">
        <v>0</v>
      </c>
    </row>
    <row r="39" spans="2:26" s="23" customFormat="1" ht="12.75" x14ac:dyDescent="0.2">
      <c r="B39" s="23" t="s">
        <v>205</v>
      </c>
      <c r="C39" s="53" t="s">
        <v>70</v>
      </c>
      <c r="D39" s="56" t="s">
        <v>71</v>
      </c>
      <c r="E39" s="62" t="s">
        <v>205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30">
        <v>0</v>
      </c>
      <c r="O39" s="30">
        <v>17.138999999999999</v>
      </c>
      <c r="P39" s="30">
        <v>0</v>
      </c>
      <c r="Q39" s="30">
        <v>0</v>
      </c>
      <c r="R39" s="30">
        <v>0</v>
      </c>
      <c r="S39" s="31">
        <v>0</v>
      </c>
      <c r="T39" s="31">
        <v>0</v>
      </c>
      <c r="U39" s="31">
        <v>0</v>
      </c>
      <c r="V39" s="31"/>
      <c r="W39" s="31"/>
      <c r="Y39" s="76"/>
      <c r="Z39" s="80"/>
    </row>
    <row r="40" spans="2:26" s="23" customFormat="1" ht="12.75" x14ac:dyDescent="0.2">
      <c r="B40" s="23" t="s">
        <v>206</v>
      </c>
      <c r="C40" s="53" t="s">
        <v>139</v>
      </c>
      <c r="D40" s="57" t="s">
        <v>72</v>
      </c>
      <c r="E40" s="62" t="s">
        <v>206</v>
      </c>
      <c r="F40" s="29">
        <v>0</v>
      </c>
      <c r="G40" s="29">
        <v>0</v>
      </c>
      <c r="H40" s="29">
        <v>2.2256499999999999</v>
      </c>
      <c r="I40" s="29">
        <v>4.0043499999999996</v>
      </c>
      <c r="J40" s="29">
        <v>4.0999999999999996</v>
      </c>
      <c r="K40" s="29">
        <v>3.5</v>
      </c>
      <c r="L40" s="29">
        <v>0.66999999999999993</v>
      </c>
      <c r="M40" s="29">
        <v>0</v>
      </c>
      <c r="N40" s="30">
        <v>60</v>
      </c>
      <c r="O40" s="30">
        <v>102.139</v>
      </c>
      <c r="P40" s="32">
        <v>0</v>
      </c>
      <c r="Q40" s="32">
        <v>40</v>
      </c>
      <c r="R40" s="32">
        <v>10</v>
      </c>
      <c r="S40" s="33">
        <v>1.5</v>
      </c>
      <c r="T40" s="33">
        <f t="shared" ref="T40:Y40" si="6">SUM(T37:T39)</f>
        <v>35.5</v>
      </c>
      <c r="U40" s="33">
        <f t="shared" si="6"/>
        <v>4</v>
      </c>
      <c r="V40" s="33">
        <f t="shared" si="6"/>
        <v>161.5</v>
      </c>
      <c r="W40" s="33">
        <f t="shared" si="6"/>
        <v>363.85897793999999</v>
      </c>
      <c r="X40" s="33">
        <f t="shared" si="6"/>
        <v>50</v>
      </c>
      <c r="Y40" s="33">
        <f t="shared" si="6"/>
        <v>400</v>
      </c>
      <c r="Z40" s="82">
        <f t="shared" ref="Z40" si="7">SUM(Z37:Z39)</f>
        <v>50</v>
      </c>
    </row>
    <row r="41" spans="2:26" s="23" customFormat="1" ht="13.5" x14ac:dyDescent="0.2">
      <c r="B41" s="23" t="s">
        <v>207</v>
      </c>
      <c r="C41" s="53" t="s">
        <v>149</v>
      </c>
      <c r="D41" s="55" t="s">
        <v>73</v>
      </c>
      <c r="E41" s="62" t="s">
        <v>207</v>
      </c>
      <c r="F41" s="29">
        <v>562.10099999999989</v>
      </c>
      <c r="G41" s="29">
        <v>586.84109247000004</v>
      </c>
      <c r="H41" s="29">
        <v>655.27129775000003</v>
      </c>
      <c r="I41" s="29">
        <v>736.58438734999993</v>
      </c>
      <c r="J41" s="29">
        <v>753.94247309999992</v>
      </c>
      <c r="K41" s="29">
        <v>633.2708609199999</v>
      </c>
      <c r="L41" s="29">
        <v>580.94821996999985</v>
      </c>
      <c r="M41" s="29">
        <v>504.332112</v>
      </c>
      <c r="N41" s="30">
        <v>589.66451701999995</v>
      </c>
      <c r="O41" s="30">
        <v>609.21611200000007</v>
      </c>
      <c r="P41" s="32">
        <v>484.44179727000005</v>
      </c>
      <c r="Q41" s="32">
        <v>518.34529797999994</v>
      </c>
      <c r="R41" s="32">
        <v>521.19345762</v>
      </c>
      <c r="S41" s="33">
        <v>553.4604394700001</v>
      </c>
      <c r="T41" s="33">
        <f t="shared" ref="T41:Y41" si="8">T35+T40</f>
        <v>617.41732014000002</v>
      </c>
      <c r="U41" s="33">
        <f t="shared" si="8"/>
        <v>551.29426615000011</v>
      </c>
      <c r="V41" s="33">
        <f t="shared" si="8"/>
        <v>666.64019080999992</v>
      </c>
      <c r="W41" s="33">
        <f t="shared" si="8"/>
        <v>938.99940786999991</v>
      </c>
      <c r="X41" s="33">
        <f t="shared" si="8"/>
        <v>718.24824966200003</v>
      </c>
      <c r="Y41" s="33">
        <f t="shared" si="8"/>
        <v>1096.8709161900001</v>
      </c>
      <c r="Z41" s="82">
        <f t="shared" ref="Z41" si="9">Z35+Z40</f>
        <v>763.75755793000008</v>
      </c>
    </row>
    <row r="42" spans="2:26" s="23" customFormat="1" ht="13.5" x14ac:dyDescent="0.2">
      <c r="C42" s="61" t="s">
        <v>150</v>
      </c>
      <c r="D42" s="55" t="s">
        <v>151</v>
      </c>
      <c r="E42" s="62"/>
      <c r="F42" s="29"/>
      <c r="G42" s="29"/>
      <c r="H42" s="29"/>
      <c r="I42" s="29"/>
      <c r="J42" s="29"/>
      <c r="K42" s="29"/>
      <c r="L42" s="29"/>
      <c r="M42" s="29"/>
      <c r="N42" s="30"/>
      <c r="O42" s="30"/>
      <c r="P42" s="32"/>
      <c r="Q42" s="32"/>
      <c r="R42" s="32"/>
      <c r="S42" s="33"/>
      <c r="T42" s="33"/>
      <c r="U42" s="33"/>
      <c r="V42" s="33"/>
      <c r="W42" s="33"/>
      <c r="Y42" s="76"/>
      <c r="Z42" s="80"/>
    </row>
    <row r="43" spans="2:26" s="23" customFormat="1" ht="12.75" x14ac:dyDescent="0.2">
      <c r="B43" s="23" t="s">
        <v>208</v>
      </c>
      <c r="C43" s="27" t="s">
        <v>74</v>
      </c>
      <c r="D43" s="28" t="s">
        <v>75</v>
      </c>
      <c r="E43" s="62" t="s">
        <v>208</v>
      </c>
      <c r="F43" s="29">
        <v>9.5741963200000004</v>
      </c>
      <c r="G43" s="29">
        <v>10.57419632</v>
      </c>
      <c r="H43" s="29">
        <v>21.261368470000001</v>
      </c>
      <c r="I43" s="29">
        <v>20.370747739999999</v>
      </c>
      <c r="J43" s="29">
        <v>21.063206220000001</v>
      </c>
      <c r="K43" s="29">
        <v>21.76474279</v>
      </c>
      <c r="L43" s="29">
        <v>20.988673370000001</v>
      </c>
      <c r="M43" s="29">
        <v>23.029</v>
      </c>
      <c r="N43" s="30">
        <v>21.805911640000001</v>
      </c>
      <c r="O43" s="30">
        <v>30.545000000000002</v>
      </c>
      <c r="P43" s="30">
        <v>20.928179489999998</v>
      </c>
      <c r="Q43" s="30">
        <v>51.388403350000004</v>
      </c>
      <c r="R43" s="30">
        <v>22.500761170000001</v>
      </c>
      <c r="S43" s="31">
        <v>47.486155889999999</v>
      </c>
      <c r="T43" s="31">
        <v>52.548479999999998</v>
      </c>
      <c r="U43" s="31">
        <f>20509755.36/1000000</f>
        <v>20.50975536</v>
      </c>
      <c r="V43" s="31">
        <f>36986884.02/1000000</f>
        <v>36.986884020000005</v>
      </c>
      <c r="W43" s="31">
        <f>19779793.3/1000000</f>
        <v>19.779793300000001</v>
      </c>
      <c r="X43" s="31">
        <f>19538713.8/1000000</f>
        <v>19.5387138</v>
      </c>
      <c r="Y43" s="76">
        <f>21758705.84/1000000</f>
        <v>21.758705840000001</v>
      </c>
      <c r="Z43" s="81">
        <v>21.594123879999998</v>
      </c>
    </row>
    <row r="44" spans="2:26" s="23" customFormat="1" ht="12.75" x14ac:dyDescent="0.2">
      <c r="C44" s="27" t="s">
        <v>151</v>
      </c>
      <c r="D44" s="28" t="s">
        <v>151</v>
      </c>
      <c r="E44" s="62"/>
      <c r="F44" s="29"/>
      <c r="G44" s="29"/>
      <c r="H44" s="29"/>
      <c r="I44" s="29"/>
      <c r="J44" s="29"/>
      <c r="K44" s="29"/>
      <c r="L44" s="29"/>
      <c r="M44" s="29"/>
      <c r="N44" s="30"/>
      <c r="O44" s="30"/>
      <c r="P44" s="30"/>
      <c r="Q44" s="30"/>
      <c r="R44" s="30"/>
      <c r="S44" s="31"/>
      <c r="T44" s="31"/>
      <c r="U44" s="31"/>
      <c r="V44" s="31"/>
      <c r="W44" s="31"/>
      <c r="Y44" s="76"/>
      <c r="Z44" s="80"/>
    </row>
    <row r="45" spans="2:26" s="23" customFormat="1" ht="12.75" x14ac:dyDescent="0.2">
      <c r="B45" s="23" t="s">
        <v>209</v>
      </c>
      <c r="C45" s="54" t="s">
        <v>140</v>
      </c>
      <c r="D45" s="28" t="s">
        <v>76</v>
      </c>
      <c r="E45" s="62" t="s">
        <v>209</v>
      </c>
      <c r="F45" s="29">
        <v>571.67519631999994</v>
      </c>
      <c r="G45" s="29">
        <v>597.41528879000009</v>
      </c>
      <c r="H45" s="29">
        <v>676.53266622000001</v>
      </c>
      <c r="I45" s="29">
        <v>756.95513508999989</v>
      </c>
      <c r="J45" s="29">
        <v>775.0056793199999</v>
      </c>
      <c r="K45" s="29">
        <v>655.03560370999992</v>
      </c>
      <c r="L45" s="29">
        <v>601.93689333999987</v>
      </c>
      <c r="M45" s="29">
        <v>527.36111200000005</v>
      </c>
      <c r="N45" s="30">
        <v>611.47042865999993</v>
      </c>
      <c r="O45" s="30">
        <v>639.76111200000003</v>
      </c>
      <c r="P45" s="32">
        <v>505.36997676000004</v>
      </c>
      <c r="Q45" s="32">
        <v>569.73370132999992</v>
      </c>
      <c r="R45" s="32">
        <v>543.69421879000004</v>
      </c>
      <c r="S45" s="33">
        <v>600.94659536000006</v>
      </c>
      <c r="T45" s="33">
        <f t="shared" ref="T45:Z45" si="10">T41+T43</f>
        <v>669.96580014000006</v>
      </c>
      <c r="U45" s="33">
        <f t="shared" si="10"/>
        <v>571.8040215100001</v>
      </c>
      <c r="V45" s="33">
        <f t="shared" si="10"/>
        <v>703.62707482999997</v>
      </c>
      <c r="W45" s="33">
        <f t="shared" si="10"/>
        <v>958.77920116999996</v>
      </c>
      <c r="X45" s="33">
        <f t="shared" si="10"/>
        <v>737.78696346200002</v>
      </c>
      <c r="Y45" s="33">
        <f t="shared" si="10"/>
        <v>1118.6296220300001</v>
      </c>
      <c r="Z45" s="82">
        <f t="shared" si="10"/>
        <v>785.35168181000006</v>
      </c>
    </row>
    <row r="46" spans="2:26" s="23" customFormat="1" ht="12.75" x14ac:dyDescent="0.2">
      <c r="C46" s="27"/>
      <c r="D46" s="27"/>
      <c r="E46" s="27"/>
      <c r="F46" s="27"/>
      <c r="G46" s="29"/>
      <c r="H46" s="29"/>
      <c r="I46" s="29"/>
      <c r="J46" s="29"/>
      <c r="K46" s="29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69"/>
      <c r="W46" s="69"/>
    </row>
    <row r="47" spans="2:26" s="23" customFormat="1" ht="12.75" x14ac:dyDescent="0.2"/>
  </sheetData>
  <conditionalFormatting sqref="B13:B14">
    <cfRule type="duplicateValues" dxfId="14" priority="67"/>
  </conditionalFormatting>
  <conditionalFormatting sqref="B15:B36 B38:B45">
    <cfRule type="duplicateValues" dxfId="13" priority="4"/>
  </conditionalFormatting>
  <conditionalFormatting sqref="B15:B36">
    <cfRule type="duplicateValues" dxfId="12" priority="3"/>
  </conditionalFormatting>
  <conditionalFormatting sqref="B37">
    <cfRule type="duplicateValues" dxfId="11" priority="1"/>
    <cfRule type="duplicateValues" dxfId="10" priority="2"/>
  </conditionalFormatting>
  <conditionalFormatting sqref="D13:D47">
    <cfRule type="duplicateValues" dxfId="9" priority="65"/>
  </conditionalFormatting>
  <conditionalFormatting sqref="D48:F1048576 D1:F1 D11:D47 D10:F10 D2:D9">
    <cfRule type="duplicateValues" dxfId="8" priority="52"/>
  </conditionalFormatting>
  <conditionalFormatting sqref="E1:E1048576">
    <cfRule type="duplicateValues" dxfId="7" priority="5"/>
  </conditionalFormatting>
  <conditionalFormatting sqref="E11:E12">
    <cfRule type="duplicateValues" dxfId="6" priority="8"/>
  </conditionalFormatting>
  <conditionalFormatting sqref="E15:E45">
    <cfRule type="duplicateValues" dxfId="5" priority="6"/>
  </conditionalFormatting>
  <dataValidations count="2">
    <dataValidation type="list" allowBlank="1" showInputMessage="1" showErrorMessage="1" sqref="C8">
      <formula1>$WWL$4:$WWL$6</formula1>
    </dataValidation>
    <dataValidation type="list" allowBlank="1" showErrorMessage="1" prompt="_x000a_" sqref="C7">
      <formula1>$WWM$4:$WWM$7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M48"/>
  <sheetViews>
    <sheetView tabSelected="1" zoomScaleNormal="100" workbookViewId="0">
      <pane xSplit="4" ySplit="11" topLeftCell="V12" activePane="bottomRight" state="frozen"/>
      <selection pane="topRight" activeCell="F1" sqref="F1"/>
      <selection pane="bottomLeft" activeCell="A10" sqref="A10"/>
      <selection pane="bottomRight" activeCell="W24" sqref="W24"/>
    </sheetView>
  </sheetViews>
  <sheetFormatPr defaultRowHeight="15.75" customHeight="1" x14ac:dyDescent="0.25"/>
  <cols>
    <col min="1" max="1" width="1.42578125" style="2" customWidth="1"/>
    <col min="2" max="2" width="23.140625" style="1" bestFit="1" customWidth="1"/>
    <col min="3" max="3" width="39.7109375" style="1" bestFit="1" customWidth="1"/>
    <col min="4" max="4" width="48.85546875" customWidth="1"/>
    <col min="5" max="5" width="24.42578125" customWidth="1"/>
    <col min="6" max="6" width="10.7109375" customWidth="1"/>
    <col min="7" max="19" width="11.140625" bestFit="1" customWidth="1"/>
    <col min="20" max="24" width="11.140625" customWidth="1"/>
    <col min="25" max="26" width="9.42578125" style="75" bestFit="1" customWidth="1"/>
    <col min="16158" max="16158" width="2.7109375" bestFit="1" customWidth="1"/>
    <col min="16159" max="16159" width="2" bestFit="1" customWidth="1"/>
  </cols>
  <sheetData>
    <row r="1" spans="2:26 16158:16159" s="2" customFormat="1" ht="15.75" customHeight="1" thickBot="1" x14ac:dyDescent="0.3">
      <c r="B1" s="16"/>
      <c r="C1" s="16"/>
      <c r="D1" s="17"/>
      <c r="W1"/>
      <c r="Y1" s="74"/>
      <c r="Z1" s="74"/>
    </row>
    <row r="2" spans="2:26 16158:16159" s="2" customFormat="1" ht="15.75" customHeight="1" x14ac:dyDescent="0.25">
      <c r="B2" s="18" t="s">
        <v>15</v>
      </c>
      <c r="C2" s="19" t="s">
        <v>16</v>
      </c>
      <c r="D2" s="20" t="s">
        <v>17</v>
      </c>
      <c r="W2"/>
      <c r="Y2" s="74"/>
      <c r="Z2" s="74"/>
    </row>
    <row r="3" spans="2:26 16158:16159" s="2" customFormat="1" ht="15.75" customHeight="1" x14ac:dyDescent="0.25">
      <c r="B3" s="18" t="s">
        <v>18</v>
      </c>
      <c r="C3" s="21" t="s">
        <v>19</v>
      </c>
      <c r="D3" s="20" t="s">
        <v>20</v>
      </c>
      <c r="W3"/>
      <c r="Y3" s="74"/>
      <c r="Z3" s="74"/>
    </row>
    <row r="4" spans="2:26 16158:16159" s="2" customFormat="1" ht="15.75" customHeight="1" x14ac:dyDescent="0.25">
      <c r="B4" s="8" t="s">
        <v>0</v>
      </c>
      <c r="C4" s="9" t="s">
        <v>132</v>
      </c>
      <c r="D4" s="11" t="s">
        <v>13</v>
      </c>
      <c r="W4"/>
      <c r="Y4" s="74"/>
      <c r="Z4" s="74"/>
      <c r="WWL4" s="3" t="s">
        <v>9</v>
      </c>
      <c r="WWM4" s="3">
        <v>0</v>
      </c>
    </row>
    <row r="5" spans="2:26 16158:16159" s="2" customFormat="1" ht="15.75" customHeight="1" x14ac:dyDescent="0.25">
      <c r="B5" s="8" t="s">
        <v>1</v>
      </c>
      <c r="C5" s="12" t="s">
        <v>23</v>
      </c>
      <c r="D5" s="11" t="s">
        <v>11</v>
      </c>
      <c r="W5"/>
      <c r="Y5" s="74"/>
      <c r="Z5" s="74"/>
      <c r="WWL5" s="3" t="s">
        <v>8</v>
      </c>
      <c r="WWM5" s="3">
        <v>3</v>
      </c>
    </row>
    <row r="6" spans="2:26 16158:16159" s="2" customFormat="1" ht="15.75" customHeight="1" thickBot="1" x14ac:dyDescent="0.3">
      <c r="B6" s="8" t="s">
        <v>2</v>
      </c>
      <c r="C6" s="9" t="s">
        <v>14</v>
      </c>
      <c r="D6" s="11" t="s">
        <v>12</v>
      </c>
      <c r="W6"/>
      <c r="Y6" s="74"/>
      <c r="Z6" s="74"/>
      <c r="WWL6" s="3" t="s">
        <v>4</v>
      </c>
      <c r="WWM6" s="3">
        <v>6</v>
      </c>
    </row>
    <row r="7" spans="2:26 16158:16159" s="2" customFormat="1" ht="15.75" customHeight="1" x14ac:dyDescent="0.25">
      <c r="B7" s="5" t="s">
        <v>5</v>
      </c>
      <c r="C7" s="6">
        <v>6</v>
      </c>
      <c r="D7" s="7" t="s">
        <v>146</v>
      </c>
      <c r="W7"/>
      <c r="Y7" s="74"/>
      <c r="Z7" s="74"/>
      <c r="WWL7" s="3"/>
      <c r="WWM7" s="3">
        <v>9</v>
      </c>
    </row>
    <row r="8" spans="2:26 16158:16159" s="2" customFormat="1" ht="15.75" customHeight="1" x14ac:dyDescent="0.25">
      <c r="B8" s="8" t="s">
        <v>3</v>
      </c>
      <c r="C8" s="9" t="s">
        <v>4</v>
      </c>
      <c r="D8" s="10" t="s">
        <v>147</v>
      </c>
      <c r="W8"/>
      <c r="Y8" s="74"/>
      <c r="Z8" s="74"/>
      <c r="WWL8" s="3"/>
      <c r="WWM8" s="3"/>
    </row>
    <row r="9" spans="2:26 16158:16159" s="2" customFormat="1" ht="15.75" customHeight="1" thickBot="1" x14ac:dyDescent="0.3">
      <c r="B9" s="13" t="s">
        <v>10</v>
      </c>
      <c r="C9" s="14"/>
      <c r="D9" s="15" t="s">
        <v>21</v>
      </c>
      <c r="W9"/>
      <c r="Y9" s="74"/>
      <c r="Z9" s="74"/>
    </row>
    <row r="10" spans="2:26 16158:16159" s="2" customFormat="1" ht="15.75" customHeight="1" x14ac:dyDescent="0.25">
      <c r="B10" s="4"/>
      <c r="W10"/>
      <c r="Y10" s="74"/>
      <c r="Z10" s="74"/>
    </row>
    <row r="11" spans="2:26 16158:16159" ht="15.75" customHeight="1" x14ac:dyDescent="0.25">
      <c r="B11" s="22" t="s">
        <v>7</v>
      </c>
      <c r="C11" s="22" t="s">
        <v>22</v>
      </c>
      <c r="D11" s="22" t="s">
        <v>133</v>
      </c>
      <c r="E11" s="22" t="s">
        <v>6</v>
      </c>
      <c r="F11" s="24">
        <v>2004</v>
      </c>
      <c r="G11" s="24">
        <v>2005</v>
      </c>
      <c r="H11" s="24">
        <v>2006</v>
      </c>
      <c r="I11" s="24">
        <v>2007</v>
      </c>
      <c r="J11" s="24">
        <v>2008</v>
      </c>
      <c r="K11" s="24">
        <v>2009</v>
      </c>
      <c r="L11" s="24">
        <v>2010</v>
      </c>
      <c r="M11" s="24">
        <v>2011</v>
      </c>
      <c r="N11" s="24">
        <v>2012</v>
      </c>
      <c r="O11" s="24">
        <v>2013</v>
      </c>
      <c r="P11" s="24">
        <v>2014</v>
      </c>
      <c r="Q11" s="24">
        <v>2015</v>
      </c>
      <c r="R11" s="24">
        <v>2016</v>
      </c>
      <c r="S11" s="24">
        <v>2017</v>
      </c>
      <c r="T11" s="67">
        <v>2018</v>
      </c>
      <c r="U11" s="67">
        <v>2019</v>
      </c>
      <c r="V11" s="71">
        <v>2020</v>
      </c>
      <c r="W11" s="71">
        <v>2021</v>
      </c>
      <c r="X11" s="71">
        <v>2022</v>
      </c>
      <c r="Y11" s="71">
        <v>2023</v>
      </c>
      <c r="Z11" s="71">
        <v>2024</v>
      </c>
    </row>
    <row r="12" spans="2:26 16158:16159" ht="59.25" customHeight="1" x14ac:dyDescent="0.25">
      <c r="B12" s="22"/>
      <c r="C12" s="22"/>
      <c r="D12" s="22"/>
      <c r="E12" s="22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7"/>
    </row>
    <row r="13" spans="2:26 16158:16159" s="23" customFormat="1" ht="12.75" x14ac:dyDescent="0.2">
      <c r="C13" s="25" t="s">
        <v>141</v>
      </c>
      <c r="D13" s="25" t="s">
        <v>142</v>
      </c>
      <c r="E13" s="26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4"/>
      <c r="S13" s="64"/>
      <c r="T13" s="70"/>
      <c r="V13" s="69"/>
      <c r="W13" s="69"/>
      <c r="X13" s="69"/>
      <c r="Y13" s="76"/>
      <c r="Z13" s="76"/>
    </row>
    <row r="14" spans="2:26 16158:16159" s="23" customFormat="1" ht="12.75" x14ac:dyDescent="0.2">
      <c r="C14" s="35" t="s">
        <v>77</v>
      </c>
      <c r="D14" s="36" t="s">
        <v>78</v>
      </c>
      <c r="E14" s="35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5"/>
      <c r="S14" s="35"/>
      <c r="T14" s="35"/>
      <c r="V14" s="69"/>
      <c r="W14" s="69"/>
      <c r="X14" s="69"/>
      <c r="Y14" s="76"/>
      <c r="Z14" s="76"/>
    </row>
    <row r="15" spans="2:26 16158:16159" s="23" customFormat="1" ht="12.75" x14ac:dyDescent="0.2">
      <c r="B15" s="23" t="s">
        <v>153</v>
      </c>
      <c r="C15" s="59" t="s">
        <v>79</v>
      </c>
      <c r="D15" s="38" t="s">
        <v>80</v>
      </c>
      <c r="E15" s="62" t="s">
        <v>153</v>
      </c>
      <c r="F15" s="37">
        <v>2.7749999999999999</v>
      </c>
      <c r="G15" s="37">
        <v>2.8045386099999998</v>
      </c>
      <c r="H15" s="37">
        <v>2.6174517000000002</v>
      </c>
      <c r="I15" s="37">
        <v>2.8111694599999999</v>
      </c>
      <c r="J15" s="37">
        <v>2.7707878400000001</v>
      </c>
      <c r="K15" s="37">
        <v>2.9841397299999999</v>
      </c>
      <c r="L15" s="37">
        <v>3.01135865</v>
      </c>
      <c r="M15" s="37">
        <v>2.9116786299999999</v>
      </c>
      <c r="N15" s="39">
        <v>2.6913652899999998</v>
      </c>
      <c r="O15" s="39">
        <v>2.8439999999999999</v>
      </c>
      <c r="P15" s="39">
        <v>2.94282596</v>
      </c>
      <c r="Q15" s="39">
        <v>2.8834654500000001</v>
      </c>
      <c r="R15" s="39">
        <v>2.5085013199999997</v>
      </c>
      <c r="S15" s="40">
        <v>3.0678465400000001</v>
      </c>
      <c r="T15" s="40">
        <v>3.007282</v>
      </c>
      <c r="U15" s="40">
        <f>2658301.44/1000000</f>
        <v>2.6583014399999998</v>
      </c>
      <c r="V15" s="40">
        <f>3194230.64/1000000</f>
        <v>3.1942306400000002</v>
      </c>
      <c r="W15" s="40">
        <f>3107604.3/1000000</f>
        <v>3.1076042999999998</v>
      </c>
      <c r="X15" s="31">
        <f>3010962.46/1000000</f>
        <v>3.01096246</v>
      </c>
      <c r="Y15" s="77">
        <f>3126626.03/1000000</f>
        <v>3.1266260299999997</v>
      </c>
      <c r="Z15" s="77">
        <v>3.3239123799999999</v>
      </c>
    </row>
    <row r="16" spans="2:26 16158:16159" s="23" customFormat="1" ht="12.75" x14ac:dyDescent="0.2">
      <c r="B16" s="23" t="s">
        <v>154</v>
      </c>
      <c r="C16" s="53" t="s">
        <v>81</v>
      </c>
      <c r="D16" s="38" t="s">
        <v>82</v>
      </c>
      <c r="E16" s="62" t="s">
        <v>154</v>
      </c>
      <c r="F16" s="37">
        <v>73.823999999999998</v>
      </c>
      <c r="G16" s="37">
        <v>77.577521989999994</v>
      </c>
      <c r="H16" s="37">
        <v>81.298792030000001</v>
      </c>
      <c r="I16" s="37">
        <v>85.145402239999996</v>
      </c>
      <c r="J16" s="37">
        <v>88.648696340000001</v>
      </c>
      <c r="K16" s="37">
        <v>91.795953680000011</v>
      </c>
      <c r="L16" s="37">
        <v>94.002376089999998</v>
      </c>
      <c r="M16" s="37">
        <v>91.758303659999996</v>
      </c>
      <c r="N16" s="39">
        <v>90.930528870000003</v>
      </c>
      <c r="O16" s="39">
        <v>90.263000000000005</v>
      </c>
      <c r="P16" s="39">
        <v>84.028521699999999</v>
      </c>
      <c r="Q16" s="39">
        <v>84.019611430000012</v>
      </c>
      <c r="R16" s="39">
        <v>84.705190560000005</v>
      </c>
      <c r="S16" s="40">
        <v>86.366634310000009</v>
      </c>
      <c r="T16" s="40">
        <v>84.704104000000001</v>
      </c>
      <c r="U16" s="40">
        <f>83804984.48/1000000</f>
        <v>83.804984480000002</v>
      </c>
      <c r="V16" s="40">
        <f>77572773.17/1000000</f>
        <v>77.572773170000005</v>
      </c>
      <c r="W16" s="40">
        <f>82197558.13/1000000</f>
        <v>82.19755812999999</v>
      </c>
      <c r="X16" s="31">
        <f>83912248.52/1000000</f>
        <v>83.912248519999991</v>
      </c>
      <c r="Y16" s="77">
        <f>85851093.08/1000000</f>
        <v>85.851093079999998</v>
      </c>
      <c r="Z16" s="77">
        <v>93.088511019999999</v>
      </c>
    </row>
    <row r="17" spans="2:26" s="23" customFormat="1" ht="12.75" x14ac:dyDescent="0.2">
      <c r="B17" s="23" t="s">
        <v>155</v>
      </c>
      <c r="C17" s="59" t="s">
        <v>83</v>
      </c>
      <c r="D17" s="38" t="s">
        <v>84</v>
      </c>
      <c r="E17" s="62" t="s">
        <v>155</v>
      </c>
      <c r="F17" s="37">
        <v>12.94</v>
      </c>
      <c r="G17" s="37">
        <v>13.21808474</v>
      </c>
      <c r="H17" s="37">
        <v>13.825760669999999</v>
      </c>
      <c r="I17" s="37">
        <v>14.417820320000001</v>
      </c>
      <c r="J17" s="37">
        <v>14.87438657</v>
      </c>
      <c r="K17" s="37">
        <v>14.634500539999999</v>
      </c>
      <c r="L17" s="37">
        <v>14.463991759999999</v>
      </c>
      <c r="M17" s="37">
        <v>13.645798599999999</v>
      </c>
      <c r="N17" s="39">
        <v>13.18809955</v>
      </c>
      <c r="O17" s="39">
        <v>12.616</v>
      </c>
      <c r="P17" s="39">
        <v>12.181003960000002</v>
      </c>
      <c r="Q17" s="39">
        <v>11.57102875</v>
      </c>
      <c r="R17" s="39">
        <v>10.99899574</v>
      </c>
      <c r="S17" s="40">
        <v>10.430006390000001</v>
      </c>
      <c r="T17" s="40">
        <v>9.9490130000000008</v>
      </c>
      <c r="U17" s="40">
        <f>9387815.57/1000000</f>
        <v>9.3878155700000008</v>
      </c>
      <c r="V17" s="40">
        <f>8739871.8/1000000</f>
        <v>8.7398718000000013</v>
      </c>
      <c r="W17" s="40">
        <f>8130502.74/1000000</f>
        <v>8.1305027400000007</v>
      </c>
      <c r="X17" s="31">
        <f>7555313.63/1000000</f>
        <v>7.5553136299999997</v>
      </c>
      <c r="Y17" s="77">
        <f>7302075.94/1000000</f>
        <v>7.3020759400000008</v>
      </c>
      <c r="Z17" s="77">
        <v>6.9904727699999993</v>
      </c>
    </row>
    <row r="18" spans="2:26" s="23" customFormat="1" ht="12.75" x14ac:dyDescent="0.2">
      <c r="B18" s="23" t="s">
        <v>156</v>
      </c>
      <c r="C18" s="59" t="s">
        <v>85</v>
      </c>
      <c r="D18" s="38" t="s">
        <v>86</v>
      </c>
      <c r="E18" s="62" t="s">
        <v>156</v>
      </c>
      <c r="F18" s="37">
        <v>22.843</v>
      </c>
      <c r="G18" s="37">
        <v>23.417063750000001</v>
      </c>
      <c r="H18" s="37">
        <v>24.478873800000002</v>
      </c>
      <c r="I18" s="37">
        <v>25.474755070000001</v>
      </c>
      <c r="J18" s="37">
        <v>29.05989087</v>
      </c>
      <c r="K18" s="37">
        <v>30.055898320000001</v>
      </c>
      <c r="L18" s="37">
        <v>29.163255589999999</v>
      </c>
      <c r="M18" s="37">
        <v>29.093575229999999</v>
      </c>
      <c r="N18" s="39">
        <v>30.073108690000002</v>
      </c>
      <c r="O18" s="39">
        <v>26.626000000000001</v>
      </c>
      <c r="P18" s="39">
        <v>29.90440946</v>
      </c>
      <c r="Q18" s="39">
        <v>27.710802910000002</v>
      </c>
      <c r="R18" s="39">
        <v>28.213770699999998</v>
      </c>
      <c r="S18" s="40">
        <v>26.026423999999999</v>
      </c>
      <c r="T18" s="40">
        <f>22777908.06/1000000</f>
        <v>22.777908059999998</v>
      </c>
      <c r="U18" s="40">
        <f>23234626.72/1000000</f>
        <v>23.234626719999998</v>
      </c>
      <c r="V18" s="40">
        <f>21305391.73/1000000</f>
        <v>21.30539173</v>
      </c>
      <c r="W18" s="40">
        <f>23620496.16/1000000</f>
        <v>23.620496160000002</v>
      </c>
      <c r="X18" s="31">
        <f>25016426.82/1000000</f>
        <v>25.01642682</v>
      </c>
      <c r="Y18" s="77">
        <f>27316776.1/1000000</f>
        <v>27.316776100000002</v>
      </c>
      <c r="Z18" s="77">
        <v>29.11158721</v>
      </c>
    </row>
    <row r="19" spans="2:26" s="23" customFormat="1" ht="12.75" x14ac:dyDescent="0.2">
      <c r="B19" s="23" t="s">
        <v>157</v>
      </c>
      <c r="C19" s="59" t="s">
        <v>87</v>
      </c>
      <c r="D19" s="38" t="s">
        <v>88</v>
      </c>
      <c r="E19" s="62" t="s">
        <v>157</v>
      </c>
      <c r="F19" s="37">
        <v>7.5060000000000002</v>
      </c>
      <c r="G19" s="37">
        <v>8.4366819999999993</v>
      </c>
      <c r="H19" s="37">
        <v>11.287325529999999</v>
      </c>
      <c r="I19" s="37">
        <v>11.723286289999999</v>
      </c>
      <c r="J19" s="37">
        <v>13.49104674</v>
      </c>
      <c r="K19" s="37">
        <v>13.072955140000001</v>
      </c>
      <c r="L19" s="37">
        <v>11.467351820000001</v>
      </c>
      <c r="M19" s="37">
        <v>16.553176610000001</v>
      </c>
      <c r="N19" s="39">
        <v>12.292739989999999</v>
      </c>
      <c r="O19" s="39">
        <v>9.31</v>
      </c>
      <c r="P19" s="39">
        <v>9.8630217600000005</v>
      </c>
      <c r="Q19" s="39">
        <v>9.8534197200000015</v>
      </c>
      <c r="R19" s="39">
        <v>10.86808673</v>
      </c>
      <c r="S19" s="40">
        <v>9.6167040000000004</v>
      </c>
      <c r="T19" s="40">
        <f>10777331.53/1000000</f>
        <v>10.77733153</v>
      </c>
      <c r="U19" s="40">
        <f>11922220.24/1000000</f>
        <v>11.92222024</v>
      </c>
      <c r="V19" s="40">
        <f>15497705.16/1000000</f>
        <v>15.497705160000001</v>
      </c>
      <c r="W19" s="40">
        <f>23857160.14/1000000</f>
        <v>23.857160140000001</v>
      </c>
      <c r="X19" s="31">
        <f>14347312.12/1000000</f>
        <v>14.34731212</v>
      </c>
      <c r="Y19" s="77">
        <f>14433363.27/1000000</f>
        <v>14.433363269999999</v>
      </c>
      <c r="Z19" s="77">
        <v>18.777336269999999</v>
      </c>
    </row>
    <row r="20" spans="2:26" s="23" customFormat="1" ht="12.75" x14ac:dyDescent="0.2">
      <c r="B20" s="23" t="s">
        <v>158</v>
      </c>
      <c r="C20" s="59" t="s">
        <v>89</v>
      </c>
      <c r="D20" s="38" t="s">
        <v>90</v>
      </c>
      <c r="E20" s="62" t="s">
        <v>158</v>
      </c>
      <c r="F20" s="37">
        <v>2.9359999999999999</v>
      </c>
      <c r="G20" s="37">
        <v>2.8682523500000001</v>
      </c>
      <c r="H20" s="37">
        <v>2.9572711900000002</v>
      </c>
      <c r="I20" s="37">
        <v>3.1066523300000002</v>
      </c>
      <c r="J20" s="37">
        <v>3.4462513700000001</v>
      </c>
      <c r="K20" s="37">
        <v>2.1144558999999998</v>
      </c>
      <c r="L20" s="37">
        <v>1.1806308300000001</v>
      </c>
      <c r="M20" s="37">
        <v>1.21770665</v>
      </c>
      <c r="N20" s="39">
        <v>1.01044186</v>
      </c>
      <c r="O20" s="39">
        <v>1.23</v>
      </c>
      <c r="P20" s="39">
        <v>2.8713526300000001</v>
      </c>
      <c r="Q20" s="39">
        <v>3.1879493399999999</v>
      </c>
      <c r="R20" s="39">
        <v>4.3739865499999997</v>
      </c>
      <c r="S20" s="40">
        <v>3.9581169300000001</v>
      </c>
      <c r="T20" s="40">
        <v>4.542357</v>
      </c>
      <c r="U20" s="40">
        <f>4982139.93/1000000</f>
        <v>4.9821399299999998</v>
      </c>
      <c r="V20" s="40">
        <f>12868858.88/1000000</f>
        <v>12.868858880000001</v>
      </c>
      <c r="W20" s="40">
        <f>29930971.17/1000000</f>
        <v>29.930971170000003</v>
      </c>
      <c r="X20" s="31">
        <f>22464294.72/1000000</f>
        <v>22.464294719999998</v>
      </c>
      <c r="Y20" s="77">
        <f>41971783.47/1000000</f>
        <v>41.971783469999998</v>
      </c>
      <c r="Z20" s="77">
        <v>38.923036570000001</v>
      </c>
    </row>
    <row r="21" spans="2:26" s="23" customFormat="1" ht="12.75" x14ac:dyDescent="0.2">
      <c r="B21" s="23" t="s">
        <v>159</v>
      </c>
      <c r="C21" s="59" t="s">
        <v>91</v>
      </c>
      <c r="D21" s="38" t="s">
        <v>92</v>
      </c>
      <c r="E21" s="62" t="s">
        <v>159</v>
      </c>
      <c r="F21" s="37">
        <v>259.73899999999998</v>
      </c>
      <c r="G21" s="37">
        <v>254.07170717</v>
      </c>
      <c r="H21" s="37">
        <v>302.56213897000003</v>
      </c>
      <c r="I21" s="37">
        <v>332.95927468000002</v>
      </c>
      <c r="J21" s="37">
        <v>376.63425330000001</v>
      </c>
      <c r="K21" s="37">
        <v>297.69435630999999</v>
      </c>
      <c r="L21" s="37">
        <v>241.34217626</v>
      </c>
      <c r="M21" s="37">
        <v>200.87069274999999</v>
      </c>
      <c r="N21" s="39">
        <v>185.07966583000001</v>
      </c>
      <c r="O21" s="39">
        <v>170.70699999999999</v>
      </c>
      <c r="P21" s="39">
        <v>165.25289203999998</v>
      </c>
      <c r="Q21" s="39">
        <v>168.62932891999998</v>
      </c>
      <c r="R21" s="39">
        <v>185.11529236999999</v>
      </c>
      <c r="S21" s="40">
        <v>190.88677061999999</v>
      </c>
      <c r="T21" s="40">
        <f>204452138.27/1000000</f>
        <v>204.45213827000001</v>
      </c>
      <c r="U21" s="40">
        <f>212496941.05/1000000</f>
        <v>212.49694105</v>
      </c>
      <c r="V21" s="40">
        <f>195648760.82/1000000</f>
        <v>195.64876082000001</v>
      </c>
      <c r="W21" s="40">
        <f>237604882.54/1000000</f>
        <v>237.60488254000001</v>
      </c>
      <c r="X21" s="31">
        <f>274520174.25/1000000</f>
        <v>274.52017425000003</v>
      </c>
      <c r="Y21" s="77">
        <f>287446314.91/1000000</f>
        <v>287.44631491000001</v>
      </c>
      <c r="Z21" s="77">
        <v>277.96916050999999</v>
      </c>
    </row>
    <row r="22" spans="2:26" s="23" customFormat="1" ht="12.75" x14ac:dyDescent="0.2">
      <c r="B22" s="23" t="s">
        <v>160</v>
      </c>
      <c r="C22" s="59" t="s">
        <v>93</v>
      </c>
      <c r="D22" s="38" t="s">
        <v>94</v>
      </c>
      <c r="E22" s="62" t="s">
        <v>160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31">
        <f>0/1000000</f>
        <v>0</v>
      </c>
      <c r="Y22" s="40">
        <v>0</v>
      </c>
      <c r="Z22" s="40">
        <v>0</v>
      </c>
    </row>
    <row r="23" spans="2:26" s="23" customFormat="1" ht="12.75" x14ac:dyDescent="0.2">
      <c r="B23" s="23" t="s">
        <v>161</v>
      </c>
      <c r="C23" s="53" t="s">
        <v>95</v>
      </c>
      <c r="D23" s="38" t="s">
        <v>96</v>
      </c>
      <c r="E23" s="62" t="s">
        <v>161</v>
      </c>
      <c r="F23" s="37">
        <v>5.7919999999999998</v>
      </c>
      <c r="G23" s="37">
        <v>6.2998269200000001</v>
      </c>
      <c r="H23" s="37">
        <v>5.8212657300000004</v>
      </c>
      <c r="I23" s="37">
        <v>5.7211023799999996</v>
      </c>
      <c r="J23" s="37">
        <v>5.5000885500000001</v>
      </c>
      <c r="K23" s="37">
        <v>5.6293044800000001</v>
      </c>
      <c r="L23" s="37">
        <v>5.7683348200000006</v>
      </c>
      <c r="M23" s="37">
        <v>5.5426668100000001</v>
      </c>
      <c r="N23" s="39">
        <v>5.4159147799999996</v>
      </c>
      <c r="O23" s="39">
        <v>6.4160000000000004</v>
      </c>
      <c r="P23" s="39">
        <v>5.0142917599999999</v>
      </c>
      <c r="Q23" s="39">
        <v>5.0292094800000005</v>
      </c>
      <c r="R23" s="39">
        <v>5.5569907699999996</v>
      </c>
      <c r="S23" s="40">
        <v>5.3766044400000004</v>
      </c>
      <c r="T23" s="40">
        <v>5.1013729999999997</v>
      </c>
      <c r="U23" s="40">
        <f>5017771.2/1000000</f>
        <v>5.0177712000000003</v>
      </c>
      <c r="V23" s="40">
        <f>4833216.87/1000000</f>
        <v>4.8332168700000002</v>
      </c>
      <c r="W23" s="40">
        <f>5144000/1000000</f>
        <v>5.1440000000000001</v>
      </c>
      <c r="X23" s="31">
        <f>5677000/1000000</f>
        <v>5.6769999999999996</v>
      </c>
      <c r="Y23" s="77">
        <f>8361000/1000000</f>
        <v>8.3610000000000007</v>
      </c>
      <c r="Z23" s="77">
        <v>5.931</v>
      </c>
    </row>
    <row r="24" spans="2:26" s="23" customFormat="1" ht="12.75" x14ac:dyDescent="0.2">
      <c r="B24" s="23" t="s">
        <v>162</v>
      </c>
      <c r="C24" s="59" t="s">
        <v>97</v>
      </c>
      <c r="D24" s="38" t="s">
        <v>98</v>
      </c>
      <c r="E24" s="62" t="s">
        <v>162</v>
      </c>
      <c r="F24" s="37">
        <v>117.533</v>
      </c>
      <c r="G24" s="37">
        <v>120.20013641</v>
      </c>
      <c r="H24" s="37">
        <v>125.27439828</v>
      </c>
      <c r="I24" s="37">
        <v>130.85230522000001</v>
      </c>
      <c r="J24" s="37">
        <v>139.10232430000002</v>
      </c>
      <c r="K24" s="37">
        <v>143.34987302000002</v>
      </c>
      <c r="L24" s="37">
        <v>140.96596527</v>
      </c>
      <c r="M24" s="37">
        <v>127.38690232</v>
      </c>
      <c r="N24" s="39">
        <v>130.29775394999999</v>
      </c>
      <c r="O24" s="39">
        <v>124.051</v>
      </c>
      <c r="P24" s="39">
        <v>121.83733655</v>
      </c>
      <c r="Q24" s="39">
        <v>130.51875971999999</v>
      </c>
      <c r="R24" s="39">
        <v>132.14176975000001</v>
      </c>
      <c r="S24" s="40">
        <v>133.72070941999999</v>
      </c>
      <c r="T24" s="40">
        <v>138.73748699999999</v>
      </c>
      <c r="U24" s="40">
        <f>113205414.77/1000000</f>
        <v>113.20541476999999</v>
      </c>
      <c r="V24" s="40">
        <f>152902055.02/1000000</f>
        <v>152.90205502000001</v>
      </c>
      <c r="W24" s="40">
        <f>192613201.2/1000000</f>
        <v>192.61320119999999</v>
      </c>
      <c r="X24" s="31">
        <f>160364204.94/1000000</f>
        <v>160.36420494000001</v>
      </c>
      <c r="Y24" s="77">
        <f>153767911.18/1000000</f>
        <v>153.76791118</v>
      </c>
      <c r="Z24" s="77">
        <v>154.0112488</v>
      </c>
    </row>
    <row r="25" spans="2:26" s="23" customFormat="1" ht="12.75" x14ac:dyDescent="0.2">
      <c r="B25" s="23" t="s">
        <v>163</v>
      </c>
      <c r="C25" s="59" t="s">
        <v>99</v>
      </c>
      <c r="D25" s="38" t="s">
        <v>100</v>
      </c>
      <c r="E25" s="62" t="s">
        <v>163</v>
      </c>
      <c r="F25" s="37">
        <v>2.758</v>
      </c>
      <c r="G25" s="37">
        <v>3.6390771499999999</v>
      </c>
      <c r="H25" s="37">
        <v>3.9450330400000002</v>
      </c>
      <c r="I25" s="37">
        <v>3.8801446800000003</v>
      </c>
      <c r="J25" s="37">
        <v>3.7645634700000001</v>
      </c>
      <c r="K25" s="37">
        <v>3.8964308299999999</v>
      </c>
      <c r="L25" s="37">
        <v>4.0108126999999998</v>
      </c>
      <c r="M25" s="37">
        <v>3.7695392999999999</v>
      </c>
      <c r="N25" s="39">
        <v>3.9322767299999999</v>
      </c>
      <c r="O25" s="39">
        <v>2.8050000000000002</v>
      </c>
      <c r="P25" s="39">
        <v>2.7139996399999999</v>
      </c>
      <c r="Q25" s="39">
        <v>2.9563996000000001</v>
      </c>
      <c r="R25" s="39">
        <v>2.9284745000000001</v>
      </c>
      <c r="S25" s="40">
        <v>2.7676101000000002</v>
      </c>
      <c r="T25" s="40">
        <f>2673586.8/1000000</f>
        <v>2.6735867999999998</v>
      </c>
      <c r="U25" s="40">
        <f>2852448.37/1000000</f>
        <v>2.8524483700000003</v>
      </c>
      <c r="V25" s="40">
        <f>3030000/1000000</f>
        <v>3.03</v>
      </c>
      <c r="W25" s="40">
        <f>3502738.35/1000000</f>
        <v>3.50273835</v>
      </c>
      <c r="X25" s="31">
        <f>5113685.4/1000000</f>
        <v>5.1136854000000005</v>
      </c>
      <c r="Y25" s="77">
        <f>5222731.49/1000000</f>
        <v>5.2227314900000001</v>
      </c>
      <c r="Z25" s="77">
        <v>4.8518720000000002</v>
      </c>
    </row>
    <row r="26" spans="2:26" s="23" customFormat="1" ht="12.75" x14ac:dyDescent="0.2">
      <c r="B26" s="23" t="s">
        <v>164</v>
      </c>
      <c r="C26" s="59" t="s">
        <v>101</v>
      </c>
      <c r="D26" s="38" t="s">
        <v>102</v>
      </c>
      <c r="E26" s="62" t="s">
        <v>164</v>
      </c>
      <c r="F26" s="37">
        <v>0.56599999999999995</v>
      </c>
      <c r="G26" s="37">
        <v>0.64716514000000003</v>
      </c>
      <c r="H26" s="37">
        <v>1.0463937700000001</v>
      </c>
      <c r="I26" s="37">
        <v>0.90806790999999998</v>
      </c>
      <c r="J26" s="37">
        <v>0.98631043000000007</v>
      </c>
      <c r="K26" s="37">
        <v>0.71675500999999997</v>
      </c>
      <c r="L26" s="37">
        <v>0.96258707999999993</v>
      </c>
      <c r="M26" s="37">
        <v>0.83739505000000003</v>
      </c>
      <c r="N26" s="39">
        <v>0.94018789000000003</v>
      </c>
      <c r="O26" s="39">
        <v>0.97</v>
      </c>
      <c r="P26" s="39">
        <v>0.64445074999999996</v>
      </c>
      <c r="Q26" s="39">
        <v>0.44614977</v>
      </c>
      <c r="R26" s="39">
        <v>0.42554940000000002</v>
      </c>
      <c r="S26" s="40">
        <v>0.42388078999999995</v>
      </c>
      <c r="T26" s="40">
        <v>0.46764800000000001</v>
      </c>
      <c r="U26" s="40">
        <f>440254.29/1000000</f>
        <v>0.44025428999999999</v>
      </c>
      <c r="V26" s="40">
        <f>207985.26/1000000</f>
        <v>0.20798526000000001</v>
      </c>
      <c r="W26" s="40">
        <f>395714.41/1000000</f>
        <v>0.39571440999999996</v>
      </c>
      <c r="X26" s="31">
        <f>561282.9/1000000</f>
        <v>0.56128290000000003</v>
      </c>
      <c r="Y26" s="77">
        <f>556707.87/1000000</f>
        <v>0.55670786999999999</v>
      </c>
      <c r="Z26" s="77">
        <v>0.46936332000000003</v>
      </c>
    </row>
    <row r="27" spans="2:26" s="23" customFormat="1" ht="12.75" x14ac:dyDescent="0.2">
      <c r="B27" s="23" t="s">
        <v>165</v>
      </c>
      <c r="C27" s="59" t="s">
        <v>103</v>
      </c>
      <c r="D27" s="38" t="s">
        <v>104</v>
      </c>
      <c r="E27" s="62" t="s">
        <v>165</v>
      </c>
      <c r="F27" s="37">
        <v>0</v>
      </c>
      <c r="G27" s="37">
        <v>0</v>
      </c>
      <c r="H27" s="37">
        <v>26.688193769999998</v>
      </c>
      <c r="I27" s="37">
        <v>40</v>
      </c>
      <c r="J27" s="37">
        <v>7.7</v>
      </c>
      <c r="K27" s="37">
        <v>0</v>
      </c>
      <c r="L27" s="37">
        <v>24.28417336</v>
      </c>
      <c r="M27" s="37">
        <v>25.185287769999999</v>
      </c>
      <c r="N27" s="39">
        <v>50.871072859999998</v>
      </c>
      <c r="O27" s="39">
        <v>52.881999999999998</v>
      </c>
      <c r="P27" s="39">
        <v>4.1048088299999996</v>
      </c>
      <c r="Q27" s="39">
        <v>14.918032589999999</v>
      </c>
      <c r="R27" s="39">
        <v>16.352061299999999</v>
      </c>
      <c r="S27" s="40">
        <v>21.681474210000001</v>
      </c>
      <c r="T27" s="40">
        <v>20.644093999999999</v>
      </c>
      <c r="U27" s="40">
        <f>7317709.23/1000000</f>
        <v>7.3177092300000002</v>
      </c>
      <c r="V27" s="40">
        <f>17530316.09/1000000</f>
        <v>17.530316089999999</v>
      </c>
      <c r="W27" s="40">
        <f>12209413.97/1000000</f>
        <v>12.20941397</v>
      </c>
      <c r="X27" s="31">
        <f>9257398.77/1000000</f>
        <v>9.25739877</v>
      </c>
      <c r="Y27" s="77">
        <f>16267271.1/1000000</f>
        <v>16.267271099999999</v>
      </c>
      <c r="Z27" s="77">
        <v>17.260604920000002</v>
      </c>
    </row>
    <row r="28" spans="2:26" s="23" customFormat="1" ht="12.75" x14ac:dyDescent="0.2">
      <c r="B28" s="23" t="s">
        <v>166</v>
      </c>
      <c r="C28" s="60" t="s">
        <v>143</v>
      </c>
      <c r="D28" s="42" t="s">
        <v>32</v>
      </c>
      <c r="E28" s="62" t="s">
        <v>166</v>
      </c>
      <c r="F28" s="43">
        <v>509.21199999999993</v>
      </c>
      <c r="G28" s="43">
        <v>513.18005622999999</v>
      </c>
      <c r="H28" s="43">
        <v>601.80289847999995</v>
      </c>
      <c r="I28" s="43">
        <v>656.99998057999994</v>
      </c>
      <c r="J28" s="43">
        <v>685.97859977999997</v>
      </c>
      <c r="K28" s="43">
        <v>605.94462296000006</v>
      </c>
      <c r="L28" s="43">
        <v>570.62301422999997</v>
      </c>
      <c r="M28" s="43">
        <v>518.77272338</v>
      </c>
      <c r="N28" s="44">
        <v>526.72315629000002</v>
      </c>
      <c r="O28" s="44">
        <v>500.72</v>
      </c>
      <c r="P28" s="44">
        <v>441.35891504</v>
      </c>
      <c r="Q28" s="44">
        <v>461.72415767999996</v>
      </c>
      <c r="R28" s="44">
        <v>484.18866969000004</v>
      </c>
      <c r="S28" s="45">
        <v>494.32278264999997</v>
      </c>
      <c r="T28" s="46">
        <f t="shared" ref="T28:U28" si="0">SUM(T15:T27)</f>
        <v>507.83432266000005</v>
      </c>
      <c r="U28" s="46">
        <f t="shared" si="0"/>
        <v>477.32062729</v>
      </c>
      <c r="V28" s="46">
        <f t="shared" ref="V28" si="1">SUM(V15:V27)</f>
        <v>513.33116544000006</v>
      </c>
      <c r="W28" s="46">
        <f t="shared" ref="W28:Z28" si="2">SUM(W15:W27)</f>
        <v>622.31424310999989</v>
      </c>
      <c r="X28" s="73">
        <f t="shared" si="2"/>
        <v>611.80030453000006</v>
      </c>
      <c r="Y28" s="73">
        <f t="shared" si="2"/>
        <v>651.62365443999988</v>
      </c>
      <c r="Z28" s="73">
        <f t="shared" si="2"/>
        <v>650.70810576999986</v>
      </c>
    </row>
    <row r="29" spans="2:26" s="23" customFormat="1" ht="12.75" x14ac:dyDescent="0.2">
      <c r="C29" s="35" t="s">
        <v>105</v>
      </c>
      <c r="D29" s="36" t="s">
        <v>106</v>
      </c>
      <c r="F29" s="37"/>
      <c r="G29" s="37"/>
      <c r="H29" s="37"/>
      <c r="I29" s="37"/>
      <c r="J29" s="37"/>
      <c r="K29" s="37"/>
      <c r="L29" s="37"/>
      <c r="M29" s="37"/>
      <c r="N29" s="39"/>
      <c r="O29" s="39"/>
      <c r="P29" s="39"/>
      <c r="Q29" s="39"/>
      <c r="R29" s="39"/>
      <c r="S29" s="40"/>
      <c r="T29" s="40"/>
      <c r="U29" s="40"/>
      <c r="V29" s="40"/>
      <c r="W29" s="40"/>
      <c r="X29" s="40"/>
      <c r="Y29" s="77"/>
      <c r="Z29" s="77"/>
    </row>
    <row r="30" spans="2:26" s="23" customFormat="1" ht="12.75" x14ac:dyDescent="0.2">
      <c r="B30" s="23" t="s">
        <v>167</v>
      </c>
      <c r="C30" s="59" t="s">
        <v>107</v>
      </c>
      <c r="D30" s="38" t="s">
        <v>108</v>
      </c>
      <c r="E30" s="62" t="s">
        <v>167</v>
      </c>
      <c r="F30" s="37">
        <v>2.4540000000000002</v>
      </c>
      <c r="G30" s="37">
        <v>4.7526365400000001</v>
      </c>
      <c r="H30" s="37">
        <v>5.3495707699999997</v>
      </c>
      <c r="I30" s="37">
        <v>9.8791896599999998</v>
      </c>
      <c r="J30" s="37">
        <v>15.222599820000001</v>
      </c>
      <c r="K30" s="37">
        <v>11.22947308</v>
      </c>
      <c r="L30" s="37">
        <v>2.1155060899999998</v>
      </c>
      <c r="M30" s="37">
        <v>2.49185751</v>
      </c>
      <c r="N30" s="39">
        <v>0.86218057999999997</v>
      </c>
      <c r="O30" s="39">
        <v>0.24399999999999999</v>
      </c>
      <c r="P30" s="39">
        <v>9.1738625599999999</v>
      </c>
      <c r="Q30" s="39">
        <v>2.2338598300000001</v>
      </c>
      <c r="R30" s="39">
        <v>0.97751090000000007</v>
      </c>
      <c r="S30" s="40">
        <v>0.53798427000000004</v>
      </c>
      <c r="T30" s="40">
        <v>0.85695299999999996</v>
      </c>
      <c r="U30" s="40">
        <f>7439956.54/1000000</f>
        <v>7.4399565399999998</v>
      </c>
      <c r="V30" s="40">
        <f>2308904.13/1000000</f>
        <v>2.3089041299999997</v>
      </c>
      <c r="W30" s="40">
        <f>665409.44/1000000</f>
        <v>0.66540943999999991</v>
      </c>
      <c r="X30" s="31">
        <f>3602148.69/1000000</f>
        <v>3.6021486899999999</v>
      </c>
      <c r="Y30" s="77">
        <f>14999049.58/1000000</f>
        <v>14.999049579999999</v>
      </c>
      <c r="Z30" s="77">
        <v>2.71679286</v>
      </c>
    </row>
    <row r="31" spans="2:26" s="23" customFormat="1" ht="12.75" x14ac:dyDescent="0.2">
      <c r="B31" s="23" t="s">
        <v>168</v>
      </c>
      <c r="C31" s="59" t="s">
        <v>109</v>
      </c>
      <c r="D31" s="38" t="s">
        <v>110</v>
      </c>
      <c r="E31" s="62" t="s">
        <v>168</v>
      </c>
      <c r="F31" s="37">
        <v>2.64</v>
      </c>
      <c r="G31" s="37">
        <v>1.9244638500000002</v>
      </c>
      <c r="H31" s="37">
        <v>3.2470363199999999</v>
      </c>
      <c r="I31" s="37">
        <v>5.1495245399999998</v>
      </c>
      <c r="J31" s="37">
        <v>4.5534177199999997</v>
      </c>
      <c r="K31" s="37">
        <v>3.9935105699999998</v>
      </c>
      <c r="L31" s="37">
        <v>2.2410357999999997</v>
      </c>
      <c r="M31" s="37">
        <v>2.1625203800000001</v>
      </c>
      <c r="N31" s="39">
        <v>10.75665173</v>
      </c>
      <c r="O31" s="39">
        <v>88.198999999999998</v>
      </c>
      <c r="P31" s="39">
        <v>1.6997984799999999</v>
      </c>
      <c r="Q31" s="39">
        <v>1.69039224</v>
      </c>
      <c r="R31" s="39">
        <v>2.4717637900000002</v>
      </c>
      <c r="S31" s="40">
        <v>1.8186387900000001</v>
      </c>
      <c r="T31" s="40">
        <v>2.1302590000000001</v>
      </c>
      <c r="U31" s="40">
        <f>12672159.57/1000000</f>
        <v>12.67215957</v>
      </c>
      <c r="V31" s="40">
        <f>2157816.5/1000000</f>
        <v>2.1578165</v>
      </c>
      <c r="W31" s="40">
        <f>2062923.14/1000000</f>
        <v>2.0629231400000001</v>
      </c>
      <c r="X31" s="31">
        <f>12989346.71/1000000</f>
        <v>12.989346710000001</v>
      </c>
      <c r="Y31" s="77">
        <f>7121107.62/1000000</f>
        <v>7.1211076200000001</v>
      </c>
      <c r="Z31" s="77">
        <v>14.39230094</v>
      </c>
    </row>
    <row r="32" spans="2:26" s="23" customFormat="1" ht="12.75" x14ac:dyDescent="0.2">
      <c r="B32" s="23" t="s">
        <v>169</v>
      </c>
      <c r="C32" s="59" t="s">
        <v>111</v>
      </c>
      <c r="D32" s="38" t="s">
        <v>112</v>
      </c>
      <c r="E32" s="62" t="s">
        <v>169</v>
      </c>
      <c r="F32" s="37">
        <v>7.5019999999999998</v>
      </c>
      <c r="G32" s="37">
        <v>8.2744505799999999</v>
      </c>
      <c r="H32" s="37">
        <v>10.65742163</v>
      </c>
      <c r="I32" s="37">
        <v>20.548545570000002</v>
      </c>
      <c r="J32" s="37">
        <v>28.330676829999998</v>
      </c>
      <c r="K32" s="37">
        <v>35.198149819999998</v>
      </c>
      <c r="L32" s="37">
        <v>27.928636239999999</v>
      </c>
      <c r="M32" s="37">
        <v>22.802063539999999</v>
      </c>
      <c r="N32" s="39">
        <v>10.06293048</v>
      </c>
      <c r="O32" s="39">
        <v>6.6920000000000002</v>
      </c>
      <c r="P32" s="39">
        <v>9.1986285700000003</v>
      </c>
      <c r="Q32" s="39">
        <v>6.3872779900000003</v>
      </c>
      <c r="R32" s="39">
        <v>16.599328509999999</v>
      </c>
      <c r="S32" s="40">
        <v>2.8551928900000001</v>
      </c>
      <c r="T32" s="40">
        <v>6.2401759999999999</v>
      </c>
      <c r="U32" s="40">
        <f>5110892.21/1000000</f>
        <v>5.1108922100000003</v>
      </c>
      <c r="V32" s="40">
        <f>3238104.09/1000000</f>
        <v>3.2381040899999998</v>
      </c>
      <c r="W32" s="40">
        <f>5159951.9/1000000</f>
        <v>5.1599519000000003</v>
      </c>
      <c r="X32" s="31">
        <f>14591013.81/1000000</f>
        <v>14.59101381</v>
      </c>
      <c r="Y32" s="77">
        <f>12092655.23/1000000</f>
        <v>12.09265523</v>
      </c>
      <c r="Z32" s="77">
        <v>13.220384409999999</v>
      </c>
    </row>
    <row r="33" spans="2:26" s="23" customFormat="1" ht="12.75" x14ac:dyDescent="0.2">
      <c r="B33" s="23" t="s">
        <v>170</v>
      </c>
      <c r="C33" s="59" t="s">
        <v>113</v>
      </c>
      <c r="D33" s="38" t="s">
        <v>114</v>
      </c>
      <c r="E33" s="62" t="s">
        <v>170</v>
      </c>
      <c r="F33" s="37">
        <v>0.115</v>
      </c>
      <c r="G33" s="37">
        <v>0.11357</v>
      </c>
      <c r="H33" s="37">
        <v>0.37546719000000001</v>
      </c>
      <c r="I33" s="37">
        <v>0.39026579</v>
      </c>
      <c r="J33" s="37">
        <v>0.87912155000000003</v>
      </c>
      <c r="K33" s="37">
        <v>1.4324973700000001</v>
      </c>
      <c r="L33" s="37">
        <v>1.06308705</v>
      </c>
      <c r="M33" s="37">
        <v>1.6613083099999999</v>
      </c>
      <c r="N33" s="39">
        <v>61.043259310000003</v>
      </c>
      <c r="O33" s="39">
        <v>1.3640000000000001</v>
      </c>
      <c r="P33" s="39">
        <v>1.7634521000000001</v>
      </c>
      <c r="Q33" s="39">
        <v>40.961042890000002</v>
      </c>
      <c r="R33" s="39">
        <v>0.98308590000000007</v>
      </c>
      <c r="S33" s="40">
        <v>50.5183204</v>
      </c>
      <c r="T33" s="40">
        <v>78.112582000000003</v>
      </c>
      <c r="U33" s="40">
        <f>30154307.7/1000000</f>
        <v>30.1543077</v>
      </c>
      <c r="V33" s="40">
        <f>37189421.12/1000000</f>
        <v>37.189421119999999</v>
      </c>
      <c r="W33" s="40">
        <f>2377033.22/1000000</f>
        <v>2.3770332200000004</v>
      </c>
      <c r="X33" s="31">
        <f>8401171.65/1000000</f>
        <v>8.4011716500000002</v>
      </c>
      <c r="Y33" s="77">
        <f>16040919.03/1000000</f>
        <v>16.040919029999998</v>
      </c>
      <c r="Z33" s="77">
        <v>15.865305150000001</v>
      </c>
    </row>
    <row r="34" spans="2:26" s="23" customFormat="1" ht="12.75" x14ac:dyDescent="0.2">
      <c r="B34" s="23" t="s">
        <v>171</v>
      </c>
      <c r="C34" s="59" t="s">
        <v>115</v>
      </c>
      <c r="D34" s="38" t="s">
        <v>116</v>
      </c>
      <c r="E34" s="62" t="s">
        <v>171</v>
      </c>
      <c r="F34" s="37">
        <v>3.5089999999999999</v>
      </c>
      <c r="G34" s="37">
        <v>3.96922687</v>
      </c>
      <c r="H34" s="37">
        <v>4.2828745100000001</v>
      </c>
      <c r="I34" s="37">
        <v>4.1182445300000001</v>
      </c>
      <c r="J34" s="37">
        <v>4.0067693000000002</v>
      </c>
      <c r="K34" s="37">
        <v>3.6335473999999999</v>
      </c>
      <c r="L34" s="37">
        <v>4.0857848099999998</v>
      </c>
      <c r="M34" s="37">
        <v>4.3802988899999997</v>
      </c>
      <c r="N34" s="39">
        <v>4.8357160800000001</v>
      </c>
      <c r="O34" s="39">
        <v>4.6390000000000002</v>
      </c>
      <c r="P34" s="39">
        <v>4.5456171599999999</v>
      </c>
      <c r="Q34" s="39">
        <v>4.7225386399999998</v>
      </c>
      <c r="R34" s="39">
        <v>5.6877951299999996</v>
      </c>
      <c r="S34" s="40">
        <v>5.76635996</v>
      </c>
      <c r="T34" s="40">
        <v>5.3514359999999996</v>
      </c>
      <c r="U34" s="40">
        <f>5481525.82/1000000</f>
        <v>5.4815258199999999</v>
      </c>
      <c r="V34" s="40">
        <f>5762014.82/1000000</f>
        <v>5.7620148200000001</v>
      </c>
      <c r="W34" s="40">
        <f>6731420.67/1000000</f>
        <v>6.7314206700000003</v>
      </c>
      <c r="X34" s="31">
        <f>7085637.24/1000000</f>
        <v>7.0856372400000005</v>
      </c>
      <c r="Y34" s="77">
        <f>7999202.67/1000000</f>
        <v>7.9992026699999998</v>
      </c>
      <c r="Z34" s="77">
        <v>7.1966109800000009</v>
      </c>
    </row>
    <row r="35" spans="2:26" s="23" customFormat="1" ht="12.75" x14ac:dyDescent="0.2">
      <c r="B35" s="23" t="s">
        <v>172</v>
      </c>
      <c r="C35" s="59" t="s">
        <v>117</v>
      </c>
      <c r="D35" s="38" t="s">
        <v>118</v>
      </c>
      <c r="E35" s="62" t="s">
        <v>172</v>
      </c>
      <c r="F35" s="37">
        <v>0.50600000000000001</v>
      </c>
      <c r="G35" s="37">
        <v>0.29998315000000003</v>
      </c>
      <c r="H35" s="37">
        <v>0.36</v>
      </c>
      <c r="I35" s="37">
        <v>0.42965344</v>
      </c>
      <c r="J35" s="37">
        <v>0.84730000000000005</v>
      </c>
      <c r="K35" s="37">
        <v>0.57484999999999997</v>
      </c>
      <c r="L35" s="37">
        <v>0.48507420000000001</v>
      </c>
      <c r="M35" s="37">
        <v>0.41624</v>
      </c>
      <c r="N35" s="39">
        <v>0.20219500000000001</v>
      </c>
      <c r="O35" s="39">
        <v>0.19400000000000001</v>
      </c>
      <c r="P35" s="39">
        <v>0.20157873000000001</v>
      </c>
      <c r="Q35" s="39">
        <v>0.16388800000000001</v>
      </c>
      <c r="R35" s="39">
        <v>0.16885</v>
      </c>
      <c r="S35" s="40">
        <v>0.32550000000000001</v>
      </c>
      <c r="T35" s="40">
        <v>0.19650000000000001</v>
      </c>
      <c r="U35" s="40">
        <f>39300/1000000</f>
        <v>3.9300000000000002E-2</v>
      </c>
      <c r="V35" s="40">
        <f>53067/1000000</f>
        <v>5.3067000000000003E-2</v>
      </c>
      <c r="W35" s="40">
        <f>59120/1000000</f>
        <v>5.9119999999999999E-2</v>
      </c>
      <c r="X35" s="31">
        <f>22400/1000000</f>
        <v>2.24E-2</v>
      </c>
      <c r="Y35" s="77">
        <f>163300/1000000</f>
        <v>0.1633</v>
      </c>
      <c r="Z35" s="77">
        <v>2.9499999999999998E-2</v>
      </c>
    </row>
    <row r="36" spans="2:26" s="23" customFormat="1" ht="12.75" x14ac:dyDescent="0.2">
      <c r="B36" s="23" t="s">
        <v>173</v>
      </c>
      <c r="C36" s="59" t="s">
        <v>119</v>
      </c>
      <c r="D36" s="38" t="s">
        <v>120</v>
      </c>
      <c r="E36" s="62" t="s">
        <v>173</v>
      </c>
      <c r="F36" s="37">
        <v>2.4449999999999998</v>
      </c>
      <c r="G36" s="37">
        <v>2.8532593300000002</v>
      </c>
      <c r="H36" s="37">
        <v>4.04870982</v>
      </c>
      <c r="I36" s="37">
        <v>5.8852411799999995</v>
      </c>
      <c r="J36" s="37">
        <v>7.1412670800000004</v>
      </c>
      <c r="K36" s="37">
        <v>4.1709554300000002</v>
      </c>
      <c r="L36" s="37">
        <v>3.4799476899999999</v>
      </c>
      <c r="M36" s="37">
        <v>4.36836424</v>
      </c>
      <c r="N36" s="39">
        <v>3.60966078</v>
      </c>
      <c r="O36" s="39">
        <v>2.8359999999999999</v>
      </c>
      <c r="P36" s="39">
        <v>3.0928766800000003</v>
      </c>
      <c r="Q36" s="39">
        <v>2.9829227</v>
      </c>
      <c r="R36" s="39">
        <v>2.7372025</v>
      </c>
      <c r="S36" s="40">
        <v>2.46421768</v>
      </c>
      <c r="T36" s="40">
        <v>2.4228209999999999</v>
      </c>
      <c r="U36" s="40">
        <f>2374745.11/1000000</f>
        <v>2.3747451099999997</v>
      </c>
      <c r="V36" s="40">
        <f>2176032.96/1000000</f>
        <v>2.1760329600000001</v>
      </c>
      <c r="W36" s="40">
        <f>1973754.67/1000000</f>
        <v>1.9737546699999999</v>
      </c>
      <c r="X36" s="31">
        <f>2324039.67/1000000</f>
        <v>2.3240396699999999</v>
      </c>
      <c r="Y36" s="77">
        <f>4505709.21/1000000</f>
        <v>4.50570921</v>
      </c>
      <c r="Z36" s="77">
        <v>4.3134331699999997</v>
      </c>
    </row>
    <row r="37" spans="2:26" s="23" customFormat="1" ht="12.75" x14ac:dyDescent="0.2">
      <c r="B37" s="23" t="s">
        <v>174</v>
      </c>
      <c r="C37" s="59" t="s">
        <v>130</v>
      </c>
      <c r="D37" s="38" t="s">
        <v>121</v>
      </c>
      <c r="E37" s="62" t="s">
        <v>174</v>
      </c>
      <c r="F37" s="37"/>
      <c r="G37" s="37"/>
      <c r="H37" s="37"/>
      <c r="I37" s="37"/>
      <c r="J37" s="37"/>
      <c r="K37" s="37"/>
      <c r="L37" s="37"/>
      <c r="M37" s="37"/>
      <c r="N37" s="39"/>
      <c r="O37" s="39"/>
      <c r="P37" s="39"/>
      <c r="Q37" s="39"/>
      <c r="R37" s="39">
        <v>0</v>
      </c>
      <c r="S37" s="39">
        <v>0</v>
      </c>
      <c r="T37" s="40"/>
      <c r="U37" s="40"/>
      <c r="V37" s="40"/>
      <c r="W37" s="40"/>
      <c r="X37" s="40"/>
      <c r="Y37" s="77"/>
      <c r="Z37" s="77"/>
    </row>
    <row r="38" spans="2:26" s="23" customFormat="1" ht="12.75" x14ac:dyDescent="0.2">
      <c r="B38" s="23" t="s">
        <v>175</v>
      </c>
      <c r="C38" s="60" t="s">
        <v>144</v>
      </c>
      <c r="D38" s="42" t="s">
        <v>51</v>
      </c>
      <c r="E38" s="62" t="s">
        <v>175</v>
      </c>
      <c r="F38" s="43">
        <v>19.170999999999999</v>
      </c>
      <c r="G38" s="43">
        <v>22.187590319999998</v>
      </c>
      <c r="H38" s="43">
        <v>28.321080239999997</v>
      </c>
      <c r="I38" s="43">
        <v>46.400664710000001</v>
      </c>
      <c r="J38" s="43">
        <v>60.981152299999998</v>
      </c>
      <c r="K38" s="43">
        <v>60.232983669999996</v>
      </c>
      <c r="L38" s="43">
        <v>41.399071880000001</v>
      </c>
      <c r="M38" s="43">
        <v>38.28265287</v>
      </c>
      <c r="N38" s="44">
        <v>91.372593960000003</v>
      </c>
      <c r="O38" s="44">
        <v>104.16799999999999</v>
      </c>
      <c r="P38" s="44">
        <v>29.675814279999997</v>
      </c>
      <c r="Q38" s="44">
        <v>59.141922290000011</v>
      </c>
      <c r="R38" s="44">
        <v>29.625536</v>
      </c>
      <c r="S38" s="44">
        <v>64.286213000000004</v>
      </c>
      <c r="T38" s="46">
        <f t="shared" ref="T38:Z38" si="3">SUM(T29:T37)</f>
        <v>95.310727</v>
      </c>
      <c r="U38" s="46">
        <f t="shared" si="3"/>
        <v>63.272886949999993</v>
      </c>
      <c r="V38" s="46">
        <f t="shared" si="3"/>
        <v>52.885360619999993</v>
      </c>
      <c r="W38" s="46">
        <f t="shared" si="3"/>
        <v>19.029613040000001</v>
      </c>
      <c r="X38" s="73">
        <f t="shared" si="3"/>
        <v>49.015757769999993</v>
      </c>
      <c r="Y38" s="73">
        <f t="shared" si="3"/>
        <v>62.921943339999999</v>
      </c>
      <c r="Z38" s="73">
        <f t="shared" si="3"/>
        <v>57.73432751</v>
      </c>
    </row>
    <row r="39" spans="2:26" s="23" customFormat="1" ht="12.75" x14ac:dyDescent="0.2">
      <c r="C39" s="35" t="s">
        <v>122</v>
      </c>
      <c r="D39" s="36" t="s">
        <v>123</v>
      </c>
      <c r="F39" s="37"/>
      <c r="G39" s="37"/>
      <c r="H39" s="37"/>
      <c r="I39" s="37"/>
      <c r="J39" s="37"/>
      <c r="K39" s="37"/>
      <c r="L39" s="37"/>
      <c r="M39" s="37"/>
      <c r="N39" s="39"/>
      <c r="O39" s="39"/>
      <c r="P39" s="39"/>
      <c r="Q39" s="39"/>
      <c r="R39" s="35"/>
      <c r="S39" s="46"/>
      <c r="T39" s="27"/>
      <c r="Y39" s="77"/>
      <c r="Z39" s="77"/>
    </row>
    <row r="40" spans="2:26" s="23" customFormat="1" ht="12.75" x14ac:dyDescent="0.2">
      <c r="B40" s="23" t="s">
        <v>176</v>
      </c>
      <c r="C40" s="59" t="s">
        <v>124</v>
      </c>
      <c r="D40" s="38" t="s">
        <v>125</v>
      </c>
      <c r="E40" s="62" t="s">
        <v>176</v>
      </c>
      <c r="F40" s="37">
        <v>2.68</v>
      </c>
      <c r="G40" s="37">
        <v>5.3471504000000003</v>
      </c>
      <c r="H40" s="37">
        <v>7.4376684800000001</v>
      </c>
      <c r="I40" s="37">
        <v>7.7117534900000004</v>
      </c>
      <c r="J40" s="37">
        <v>8.4303270500000007</v>
      </c>
      <c r="K40" s="37">
        <v>8.9290085999999995</v>
      </c>
      <c r="L40" s="37">
        <v>8.25696488</v>
      </c>
      <c r="M40" s="37">
        <v>8.1910000000000007</v>
      </c>
      <c r="N40" s="39">
        <v>7.9314545799999996</v>
      </c>
      <c r="O40" s="39">
        <v>7.8579999999999997</v>
      </c>
      <c r="P40" s="39">
        <v>7.6142733099999997</v>
      </c>
      <c r="Q40" s="39">
        <v>3.6987849700000002</v>
      </c>
      <c r="R40" s="39">
        <v>6.3605086399999999</v>
      </c>
      <c r="S40" s="40">
        <v>7.7622974600000001</v>
      </c>
      <c r="T40" s="40">
        <v>6.7851119999999998</v>
      </c>
      <c r="U40" s="40">
        <f>7212412.85/1000000</f>
        <v>7.2124128499999998</v>
      </c>
      <c r="V40" s="40">
        <f>7644859.52/1000000</f>
        <v>7.6448595199999998</v>
      </c>
      <c r="W40" s="40">
        <f>158179459.59/1000000</f>
        <v>158.17945958999999</v>
      </c>
      <c r="X40" s="31">
        <f>8453506.84/1000000</f>
        <v>8.4535068399999993</v>
      </c>
      <c r="Y40" s="77">
        <f>7676834.28/1000000</f>
        <v>7.6768342800000005</v>
      </c>
      <c r="Z40" s="77">
        <v>7.0664666799999996</v>
      </c>
    </row>
    <row r="41" spans="2:26" s="23" customFormat="1" ht="12.75" x14ac:dyDescent="0.2">
      <c r="B41" s="23" t="s">
        <v>177</v>
      </c>
      <c r="C41" s="59" t="s">
        <v>126</v>
      </c>
      <c r="D41" s="38" t="s">
        <v>127</v>
      </c>
      <c r="E41" s="62" t="s">
        <v>177</v>
      </c>
      <c r="F41" s="37">
        <v>1.046</v>
      </c>
      <c r="G41" s="37">
        <v>0.45579661999999999</v>
      </c>
      <c r="H41" s="37">
        <v>0.78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9">
        <v>0</v>
      </c>
      <c r="O41" s="39">
        <v>0</v>
      </c>
      <c r="P41" s="39">
        <v>2.5</v>
      </c>
      <c r="Q41" s="39">
        <v>5</v>
      </c>
      <c r="R41" s="39">
        <v>5</v>
      </c>
      <c r="S41" s="40">
        <v>5</v>
      </c>
      <c r="T41" s="40">
        <v>9.1666659999999993</v>
      </c>
      <c r="U41" s="40">
        <f>10000000/1000000</f>
        <v>10</v>
      </c>
      <c r="V41" s="40">
        <f>10000000/1000000</f>
        <v>10</v>
      </c>
      <c r="W41" s="40">
        <f>10000000/1000000</f>
        <v>10</v>
      </c>
      <c r="X41" s="31">
        <f>10000000/1000000</f>
        <v>10</v>
      </c>
      <c r="Y41" s="77">
        <f>10000000/1000000</f>
        <v>10</v>
      </c>
      <c r="Z41" s="77">
        <v>10.83333333</v>
      </c>
    </row>
    <row r="42" spans="2:26" s="23" customFormat="1" ht="12.75" x14ac:dyDescent="0.2">
      <c r="B42" s="23" t="s">
        <v>178</v>
      </c>
      <c r="C42" s="59" t="s">
        <v>128</v>
      </c>
      <c r="D42" s="38" t="s">
        <v>129</v>
      </c>
      <c r="E42" s="62" t="s">
        <v>178</v>
      </c>
      <c r="F42" s="37"/>
      <c r="G42" s="37"/>
      <c r="H42" s="37"/>
      <c r="I42" s="37"/>
      <c r="J42" s="37"/>
      <c r="K42" s="37"/>
      <c r="L42" s="37"/>
      <c r="M42" s="37"/>
      <c r="N42" s="39"/>
      <c r="O42" s="39">
        <v>0</v>
      </c>
      <c r="P42" s="39">
        <v>0</v>
      </c>
      <c r="Q42" s="39">
        <v>0</v>
      </c>
      <c r="R42" s="39">
        <v>1</v>
      </c>
      <c r="S42" s="40">
        <v>0</v>
      </c>
      <c r="T42" s="40">
        <v>0</v>
      </c>
      <c r="U42" s="40">
        <v>0</v>
      </c>
      <c r="V42" s="40">
        <v>0</v>
      </c>
      <c r="W42" s="40">
        <f>85000300/1000000</f>
        <v>85.000299999999996</v>
      </c>
      <c r="X42" s="31">
        <f>0/1000000</f>
        <v>0</v>
      </c>
      <c r="Y42" s="77">
        <f>390000000/1000000</f>
        <v>390</v>
      </c>
      <c r="Z42" s="77">
        <v>57.828000000000003</v>
      </c>
    </row>
    <row r="43" spans="2:26" s="23" customFormat="1" ht="12.75" x14ac:dyDescent="0.2">
      <c r="B43" s="23" t="s">
        <v>179</v>
      </c>
      <c r="C43" s="59" t="s">
        <v>130</v>
      </c>
      <c r="D43" s="38" t="s">
        <v>121</v>
      </c>
      <c r="E43" s="62" t="s">
        <v>179</v>
      </c>
      <c r="F43" s="37"/>
      <c r="G43" s="37"/>
      <c r="H43" s="37"/>
      <c r="I43" s="37"/>
      <c r="J43" s="37"/>
      <c r="K43" s="37"/>
      <c r="L43" s="37"/>
      <c r="M43" s="37"/>
      <c r="N43" s="39"/>
      <c r="O43" s="39"/>
      <c r="P43" s="39"/>
      <c r="Q43" s="39"/>
      <c r="R43" s="39"/>
      <c r="S43" s="40">
        <v>1</v>
      </c>
      <c r="T43" s="40">
        <v>5.444</v>
      </c>
      <c r="U43" s="40">
        <f>9844000/1000000</f>
        <v>9.8439999999999994</v>
      </c>
      <c r="V43" s="40">
        <f>7844000/1000000</f>
        <v>7.8440000000000003</v>
      </c>
      <c r="W43" s="40">
        <f>8844000/1000000</f>
        <v>8.8439999999999994</v>
      </c>
      <c r="X43" s="31">
        <f>0/1000000</f>
        <v>0</v>
      </c>
      <c r="Y43" s="77">
        <v>0</v>
      </c>
      <c r="Z43" s="77">
        <v>0</v>
      </c>
    </row>
    <row r="44" spans="2:26" s="23" customFormat="1" ht="12.75" x14ac:dyDescent="0.2">
      <c r="B44" s="23" t="s">
        <v>180</v>
      </c>
      <c r="C44" s="60" t="s">
        <v>145</v>
      </c>
      <c r="D44" s="42" t="s">
        <v>62</v>
      </c>
      <c r="E44" s="62" t="s">
        <v>180</v>
      </c>
      <c r="F44" s="43">
        <v>3.726</v>
      </c>
      <c r="G44" s="43">
        <v>5.8029470200000004</v>
      </c>
      <c r="H44" s="43">
        <v>8.2176684800000004</v>
      </c>
      <c r="I44" s="43">
        <v>7.7117534900000004</v>
      </c>
      <c r="J44" s="43">
        <v>8.4303270500000007</v>
      </c>
      <c r="K44" s="43">
        <v>8.9290085999999995</v>
      </c>
      <c r="L44" s="43">
        <v>8.25696488</v>
      </c>
      <c r="M44" s="43">
        <v>8.1910000000000007</v>
      </c>
      <c r="N44" s="44">
        <v>7.9314545799999996</v>
      </c>
      <c r="O44" s="44">
        <v>7.8579999999999997</v>
      </c>
      <c r="P44" s="44">
        <v>10.11427331</v>
      </c>
      <c r="Q44" s="44">
        <v>8.6987849700000002</v>
      </c>
      <c r="R44" s="44">
        <v>12.360507999999999</v>
      </c>
      <c r="S44" s="45">
        <v>13.762297</v>
      </c>
      <c r="T44" s="46">
        <f t="shared" ref="T44:Z44" si="4">SUM(T39:T43)</f>
        <v>21.395778</v>
      </c>
      <c r="U44" s="45">
        <f t="shared" si="4"/>
        <v>27.056412850000001</v>
      </c>
      <c r="V44" s="45">
        <f t="shared" si="4"/>
        <v>25.488859520000002</v>
      </c>
      <c r="W44" s="45">
        <f t="shared" si="4"/>
        <v>262.02375959</v>
      </c>
      <c r="X44" s="33">
        <f t="shared" si="4"/>
        <v>18.453506839999999</v>
      </c>
      <c r="Y44" s="33">
        <f t="shared" si="4"/>
        <v>407.67683427999998</v>
      </c>
      <c r="Z44" s="33">
        <f t="shared" si="4"/>
        <v>75.72780001000001</v>
      </c>
    </row>
    <row r="45" spans="2:26" s="23" customFormat="1" ht="13.5" x14ac:dyDescent="0.2">
      <c r="B45" s="23" t="s">
        <v>181</v>
      </c>
      <c r="C45" s="35" t="s">
        <v>148</v>
      </c>
      <c r="D45" s="47" t="s">
        <v>63</v>
      </c>
      <c r="E45" s="62" t="s">
        <v>181</v>
      </c>
      <c r="F45" s="48">
        <v>532.10899999999992</v>
      </c>
      <c r="G45" s="48">
        <v>541.17059357000005</v>
      </c>
      <c r="H45" s="48">
        <v>638.34164720000001</v>
      </c>
      <c r="I45" s="48">
        <v>711.11239877999992</v>
      </c>
      <c r="J45" s="48">
        <v>755.39007912999989</v>
      </c>
      <c r="K45" s="48">
        <v>675.10661522999999</v>
      </c>
      <c r="L45" s="48">
        <v>620.27905098999997</v>
      </c>
      <c r="M45" s="48">
        <v>565.24637625000003</v>
      </c>
      <c r="N45" s="49">
        <v>626.02720483000007</v>
      </c>
      <c r="O45" s="49">
        <v>612.74599999999998</v>
      </c>
      <c r="P45" s="49">
        <v>481.14900262999998</v>
      </c>
      <c r="Q45" s="49">
        <v>529.56486494000001</v>
      </c>
      <c r="R45" s="49">
        <v>526.17471506000004</v>
      </c>
      <c r="S45" s="49">
        <v>572.3712941</v>
      </c>
      <c r="T45" s="46">
        <f t="shared" ref="T45:Z45" si="5">T28+T38+T44</f>
        <v>624.54082765999999</v>
      </c>
      <c r="U45" s="46">
        <f t="shared" si="5"/>
        <v>567.64992709000001</v>
      </c>
      <c r="V45" s="46">
        <f t="shared" si="5"/>
        <v>591.7053855800001</v>
      </c>
      <c r="W45" s="46">
        <f t="shared" si="5"/>
        <v>903.36761573999979</v>
      </c>
      <c r="X45" s="73">
        <f t="shared" si="5"/>
        <v>679.26956914000016</v>
      </c>
      <c r="Y45" s="73">
        <f t="shared" si="5"/>
        <v>1122.2224320599998</v>
      </c>
      <c r="Z45" s="73">
        <f t="shared" si="5"/>
        <v>784.17023328999983</v>
      </c>
    </row>
    <row r="46" spans="2:26" s="23" customFormat="1" ht="12.75" x14ac:dyDescent="0.2">
      <c r="B46" s="23" t="s">
        <v>182</v>
      </c>
      <c r="C46" s="41" t="s">
        <v>74</v>
      </c>
      <c r="D46" s="36" t="s">
        <v>131</v>
      </c>
      <c r="E46" s="62" t="s">
        <v>182</v>
      </c>
      <c r="F46" s="50">
        <v>9.3970000000000002</v>
      </c>
      <c r="G46" s="50">
        <v>10.57419632</v>
      </c>
      <c r="H46" s="50">
        <v>21.261368469999997</v>
      </c>
      <c r="I46" s="50">
        <v>20.370747739999999</v>
      </c>
      <c r="J46" s="50">
        <v>21.063206219999998</v>
      </c>
      <c r="K46" s="50">
        <v>21.76474279</v>
      </c>
      <c r="L46" s="50">
        <v>20.988673370000001</v>
      </c>
      <c r="M46" s="50">
        <v>23.029623180000002</v>
      </c>
      <c r="N46" s="51">
        <v>21.805911640000001</v>
      </c>
      <c r="O46" s="51">
        <v>30.545000000000002</v>
      </c>
      <c r="P46" s="51">
        <v>20.928179489999998</v>
      </c>
      <c r="Q46" s="51">
        <v>51.388403350000004</v>
      </c>
      <c r="R46" s="51">
        <v>22.500761170000001</v>
      </c>
      <c r="S46" s="45">
        <v>47.486155889999999</v>
      </c>
      <c r="T46" s="45">
        <v>52.548479999999998</v>
      </c>
      <c r="U46" s="46">
        <f>20509755.36/1000000</f>
        <v>20.50975536</v>
      </c>
      <c r="V46" s="46">
        <f>36986884.02/1000000</f>
        <v>36.986884020000005</v>
      </c>
      <c r="W46" s="46">
        <f>19779793.3/1000000</f>
        <v>19.779793300000001</v>
      </c>
      <c r="X46" s="73">
        <f>19538713.8/1000000</f>
        <v>19.5387138</v>
      </c>
      <c r="Y46" s="77">
        <f>21758705.84/1000000</f>
        <v>21.758705840000001</v>
      </c>
      <c r="Z46" s="77">
        <v>21.594123879999998</v>
      </c>
    </row>
    <row r="47" spans="2:26" s="23" customFormat="1" ht="12.75" x14ac:dyDescent="0.2">
      <c r="C47" s="41"/>
      <c r="D47" s="36"/>
      <c r="F47" s="50"/>
      <c r="G47" s="50"/>
      <c r="H47" s="50"/>
      <c r="I47" s="50"/>
      <c r="J47" s="50"/>
      <c r="K47" s="50"/>
      <c r="L47" s="50"/>
      <c r="M47" s="50"/>
      <c r="N47" s="51"/>
      <c r="O47" s="51"/>
      <c r="P47" s="51"/>
      <c r="Q47" s="51"/>
      <c r="R47" s="51"/>
      <c r="S47" s="45"/>
      <c r="T47" s="45"/>
      <c r="U47" s="45"/>
      <c r="V47" s="45"/>
      <c r="W47" s="45"/>
      <c r="X47" s="45"/>
      <c r="Y47" s="77"/>
      <c r="Z47" s="77"/>
    </row>
    <row r="48" spans="2:26" s="23" customFormat="1" ht="12.75" x14ac:dyDescent="0.2">
      <c r="B48" s="23" t="s">
        <v>183</v>
      </c>
      <c r="C48" s="41" t="s">
        <v>152</v>
      </c>
      <c r="D48" s="52" t="s">
        <v>76</v>
      </c>
      <c r="E48" s="62" t="s">
        <v>183</v>
      </c>
      <c r="F48" s="50">
        <v>541.50599999999997</v>
      </c>
      <c r="G48" s="50">
        <v>551.74478989000011</v>
      </c>
      <c r="H48" s="50">
        <v>659.60301566999999</v>
      </c>
      <c r="I48" s="50">
        <v>731.48314651999988</v>
      </c>
      <c r="J48" s="50">
        <v>776.45328534999987</v>
      </c>
      <c r="K48" s="50">
        <v>696.87135802</v>
      </c>
      <c r="L48" s="50">
        <v>641.26772435999999</v>
      </c>
      <c r="M48" s="50">
        <v>588.27599943000007</v>
      </c>
      <c r="N48" s="50">
        <v>647.83311647000005</v>
      </c>
      <c r="O48" s="51">
        <v>643.29099999999994</v>
      </c>
      <c r="P48" s="51">
        <v>502.07718211999997</v>
      </c>
      <c r="Q48" s="51">
        <v>580.95326828999998</v>
      </c>
      <c r="R48" s="51">
        <v>548.67547623000007</v>
      </c>
      <c r="S48" s="45">
        <v>619.85744998999996</v>
      </c>
      <c r="T48" s="45">
        <f t="shared" ref="T48:Z48" si="6">T45+T46</f>
        <v>677.08930766000003</v>
      </c>
      <c r="U48" s="45">
        <f t="shared" si="6"/>
        <v>588.15968244999999</v>
      </c>
      <c r="V48" s="45">
        <f t="shared" si="6"/>
        <v>628.69226960000015</v>
      </c>
      <c r="W48" s="45">
        <f t="shared" si="6"/>
        <v>923.14740903999984</v>
      </c>
      <c r="X48" s="33">
        <f t="shared" si="6"/>
        <v>698.80828294000014</v>
      </c>
      <c r="Y48" s="33">
        <f t="shared" si="6"/>
        <v>1143.9811378999998</v>
      </c>
      <c r="Z48" s="33">
        <f t="shared" si="6"/>
        <v>805.76435716999981</v>
      </c>
    </row>
  </sheetData>
  <conditionalFormatting sqref="D11:D12">
    <cfRule type="duplicateValues" dxfId="4" priority="4"/>
  </conditionalFormatting>
  <conditionalFormatting sqref="D50:F1048576 D14:F14 D1:F1 D10:F10 D2:D9 D15:D32 G15:L15 D49:E49 D47:D48">
    <cfRule type="duplicateValues" dxfId="3" priority="86"/>
  </conditionalFormatting>
  <conditionalFormatting sqref="E1:E1048576">
    <cfRule type="duplicateValues" dxfId="2" priority="1"/>
    <cfRule type="duplicateValues" dxfId="1" priority="2"/>
  </conditionalFormatting>
  <conditionalFormatting sqref="E11:E12">
    <cfRule type="duplicateValues" dxfId="0" priority="3"/>
  </conditionalFormatting>
  <dataValidations disablePrompts="1" count="2">
    <dataValidation type="list" allowBlank="1" showErrorMessage="1" prompt="_x000a_" sqref="C7">
      <formula1>$WWL$4:$WWL$7</formula1>
    </dataValidation>
    <dataValidation type="list" allowBlank="1" showInputMessage="1" showErrorMessage="1" sqref="C8">
      <formula1>$WWK$4:$WWK$6</formula1>
    </dataValidation>
  </dataValidations>
  <pageMargins left="0.7" right="0.7" top="0.75" bottom="0.75" header="0.3" footer="0.3"/>
  <pageSetup orientation="portrait" r:id="rId1"/>
  <ignoredErrors>
    <ignoredError sqref="T18:T19 T21:W21 U15:U20 T25:W25 T28:W28 T38:W38 T44:T45 T48:W48 U23:U24 U26:U27 U30:U36 U40:U41 U43:U46 V15:V20 V23:V24 V26:V27 V30:V36 V40:V41 V43:V46 W15:W20 W23:W24 W26:W27 W30:W36 W40:W4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Revenue</vt:lpstr>
      <vt:lpstr>Expenditure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cp:lastPrinted>2023-09-21T15:24:17Z</cp:lastPrinted>
  <dcterms:created xsi:type="dcterms:W3CDTF">2016-03-10T14:57:36Z</dcterms:created>
  <dcterms:modified xsi:type="dcterms:W3CDTF">2026-02-03T09:47:54Z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