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FMI\E-GDDS\template_upload\"/>
    </mc:Choice>
  </mc:AlternateContent>
  <bookViews>
    <workbookView xWindow="28680" yWindow="-120" windowWidth="29040" windowHeight="15720"/>
  </bookViews>
  <sheets>
    <sheet name="Data" sheetId="1" r:id="rId1"/>
  </sheets>
  <definedNames>
    <definedName name="_xlnm._FilterDatabase" localSheetId="0" hidden="1">Data!$B$5:$D$11</definedName>
  </definedNames>
  <calcPr calcId="152511"/>
</workbook>
</file>

<file path=xl/calcChain.xml><?xml version="1.0" encoding="utf-8"?>
<calcChain xmlns="http://schemas.openxmlformats.org/spreadsheetml/2006/main">
  <c r="AB30" i="1" l="1"/>
  <c r="Z33" i="1" l="1"/>
  <c r="AD32" i="1" l="1"/>
  <c r="AD31" i="1"/>
  <c r="AD29" i="1"/>
  <c r="AD24" i="1"/>
  <c r="AD23" i="1"/>
  <c r="AD22" i="1"/>
  <c r="AD21" i="1"/>
  <c r="AD19" i="1" s="1"/>
  <c r="AD20" i="1"/>
  <c r="AD27" i="1"/>
  <c r="AD15" i="1"/>
  <c r="AC24" i="1"/>
  <c r="AC23" i="1"/>
  <c r="AC22" i="1"/>
  <c r="AC21" i="1"/>
  <c r="AC19" i="1"/>
  <c r="AC20" i="1"/>
  <c r="AC15" i="1"/>
  <c r="AC14" i="1" s="1"/>
  <c r="AC28" i="1"/>
  <c r="AD26" i="1" l="1"/>
  <c r="AD30" i="1"/>
  <c r="AD14" i="1"/>
  <c r="AC32" i="1"/>
  <c r="AD33" i="1" l="1"/>
  <c r="AC29" i="1"/>
  <c r="AC27" i="1" s="1"/>
  <c r="AC31" i="1"/>
  <c r="AC30" i="1" s="1"/>
  <c r="AC26" i="1" l="1"/>
  <c r="AC33" i="1" s="1"/>
  <c r="AB28" i="1"/>
  <c r="AB20" i="1" l="1"/>
  <c r="AB21" i="1"/>
  <c r="AB22" i="1"/>
  <c r="AB23" i="1"/>
  <c r="AB19" i="1" l="1"/>
  <c r="AB15" i="1"/>
  <c r="AB14" i="1" s="1"/>
  <c r="AB24" i="1"/>
  <c r="AB32" i="1" l="1"/>
  <c r="AB31" i="1"/>
  <c r="AB29" i="1"/>
  <c r="AB27" i="1" s="1"/>
  <c r="AB26" i="1" s="1"/>
  <c r="AB33" i="1" l="1"/>
  <c r="AA32" i="1" l="1"/>
  <c r="AA31" i="1"/>
  <c r="AA29" i="1"/>
  <c r="AA28" i="1"/>
  <c r="AA27" i="1" s="1"/>
  <c r="AA30" i="1"/>
  <c r="AA26" i="1" l="1"/>
  <c r="AA24" i="1"/>
  <c r="AA23" i="1"/>
  <c r="AA22" i="1"/>
  <c r="AA21" i="1"/>
  <c r="AA20" i="1"/>
  <c r="AA19" i="1" s="1"/>
  <c r="AA15" i="1"/>
  <c r="AA14" i="1" s="1"/>
  <c r="AA33" i="1" s="1"/>
  <c r="Z24" i="1" l="1"/>
  <c r="Z22" i="1"/>
  <c r="Z20" i="1"/>
  <c r="Z21" i="1"/>
  <c r="Z17" i="1"/>
  <c r="Z16" i="1"/>
  <c r="Z15" i="1" s="1"/>
  <c r="Z32" i="1" l="1"/>
  <c r="Z31" i="1"/>
  <c r="Z30" i="1" s="1"/>
  <c r="Z29" i="1"/>
  <c r="Z28" i="1"/>
  <c r="Z19" i="1"/>
  <c r="Z14" i="1" s="1"/>
  <c r="Z27" i="1" l="1"/>
  <c r="Z26" i="1"/>
  <c r="Y31" i="1"/>
  <c r="Y32" i="1"/>
  <c r="Y29" i="1"/>
  <c r="Y28" i="1"/>
  <c r="Y30" i="1"/>
  <c r="Y27" i="1"/>
  <c r="Y26" i="1" s="1"/>
  <c r="Y20" i="1" l="1"/>
  <c r="Y21" i="1"/>
  <c r="Y22" i="1"/>
  <c r="Y19" i="1" l="1"/>
  <c r="X22" i="1"/>
  <c r="Y16" i="1"/>
  <c r="Y15" i="1"/>
  <c r="Y14" i="1" s="1"/>
  <c r="Y33" i="1" s="1"/>
  <c r="X32" i="1" l="1"/>
  <c r="X31" i="1"/>
  <c r="X29" i="1"/>
  <c r="X28" i="1"/>
  <c r="X27" i="1" s="1"/>
  <c r="X30" i="1" l="1"/>
  <c r="X26" i="1" l="1"/>
  <c r="W32" i="1"/>
  <c r="V32" i="1"/>
  <c r="W31" i="1"/>
  <c r="W30" i="1" s="1"/>
  <c r="V31" i="1"/>
  <c r="U30" i="1"/>
  <c r="T30" i="1"/>
  <c r="S30" i="1"/>
  <c r="R30" i="1"/>
  <c r="L30" i="1"/>
  <c r="K30" i="1"/>
  <c r="J30" i="1"/>
  <c r="I30" i="1"/>
  <c r="H30" i="1"/>
  <c r="G30" i="1"/>
  <c r="W29" i="1"/>
  <c r="V29" i="1"/>
  <c r="W28" i="1"/>
  <c r="V28" i="1"/>
  <c r="U27" i="1"/>
  <c r="U26" i="1" s="1"/>
  <c r="T27" i="1"/>
  <c r="T26" i="1" s="1"/>
  <c r="S27" i="1"/>
  <c r="R27" i="1"/>
  <c r="L27" i="1"/>
  <c r="L26" i="1" s="1"/>
  <c r="K27" i="1"/>
  <c r="J27" i="1"/>
  <c r="I27" i="1"/>
  <c r="H27" i="1"/>
  <c r="H26" i="1" s="1"/>
  <c r="G27" i="1"/>
  <c r="W22" i="1"/>
  <c r="V22" i="1"/>
  <c r="U22" i="1"/>
  <c r="T22" i="1"/>
  <c r="X21" i="1"/>
  <c r="W21" i="1"/>
  <c r="W19" i="1" s="1"/>
  <c r="V21" i="1"/>
  <c r="U21" i="1"/>
  <c r="T21" i="1"/>
  <c r="X20" i="1"/>
  <c r="W20" i="1"/>
  <c r="V20" i="1"/>
  <c r="U20" i="1"/>
  <c r="T20" i="1"/>
  <c r="S19" i="1"/>
  <c r="R19" i="1"/>
  <c r="R14" i="1" s="1"/>
  <c r="L19" i="1"/>
  <c r="L14" i="1" s="1"/>
  <c r="K19" i="1"/>
  <c r="K14" i="1" s="1"/>
  <c r="J19" i="1"/>
  <c r="J14" i="1" s="1"/>
  <c r="I19" i="1"/>
  <c r="I14" i="1" s="1"/>
  <c r="H19" i="1"/>
  <c r="G19" i="1"/>
  <c r="G14" i="1" s="1"/>
  <c r="F19" i="1"/>
  <c r="F14" i="1" s="1"/>
  <c r="U18" i="1"/>
  <c r="T18" i="1"/>
  <c r="S18" i="1"/>
  <c r="X16" i="1"/>
  <c r="X15" i="1" s="1"/>
  <c r="W16" i="1"/>
  <c r="W15" i="1" s="1"/>
  <c r="V16" i="1"/>
  <c r="V15" i="1" s="1"/>
  <c r="U16" i="1"/>
  <c r="U15" i="1" s="1"/>
  <c r="T16" i="1"/>
  <c r="S16" i="1"/>
  <c r="H14" i="1"/>
  <c r="S26" i="1" l="1"/>
  <c r="X19" i="1"/>
  <c r="G26" i="1"/>
  <c r="V19" i="1"/>
  <c r="U19" i="1"/>
  <c r="J26" i="1"/>
  <c r="J33" i="1" s="1"/>
  <c r="W27" i="1"/>
  <c r="W26" i="1" s="1"/>
  <c r="G33" i="1"/>
  <c r="T15" i="1"/>
  <c r="T19" i="1"/>
  <c r="T14" i="1" s="1"/>
  <c r="T33" i="1" s="1"/>
  <c r="K26" i="1"/>
  <c r="K33" i="1" s="1"/>
  <c r="W14" i="1"/>
  <c r="R26" i="1"/>
  <c r="R33" i="1" s="1"/>
  <c r="X14" i="1"/>
  <c r="X33" i="1" s="1"/>
  <c r="S14" i="1"/>
  <c r="S33" i="1" s="1"/>
  <c r="V30" i="1"/>
  <c r="V27" i="1"/>
  <c r="L33" i="1"/>
  <c r="I26" i="1"/>
  <c r="I33" i="1" s="1"/>
  <c r="S15" i="1"/>
  <c r="V14" i="1"/>
  <c r="H33" i="1"/>
  <c r="U14" i="1"/>
  <c r="U33" i="1" s="1"/>
  <c r="D7" i="1"/>
  <c r="W33" i="1" l="1"/>
  <c r="V26" i="1"/>
  <c r="V33" i="1"/>
  <c r="D8" i="1"/>
</calcChain>
</file>

<file path=xl/sharedStrings.xml><?xml version="1.0" encoding="utf-8"?>
<sst xmlns="http://schemas.openxmlformats.org/spreadsheetml/2006/main" count="101" uniqueCount="81">
  <si>
    <t>DATA_DOMAIN</t>
  </si>
  <si>
    <t>REF_AREA</t>
  </si>
  <si>
    <t>COUNTERPART_AREA</t>
  </si>
  <si>
    <t>FREQ</t>
  </si>
  <si>
    <t>A</t>
  </si>
  <si>
    <t>UNIT_MULT</t>
  </si>
  <si>
    <t>INDICATOR</t>
  </si>
  <si>
    <t>Country code</t>
  </si>
  <si>
    <t>Q</t>
  </si>
  <si>
    <t>M</t>
  </si>
  <si>
    <t>COMMENT</t>
  </si>
  <si>
    <t>Country</t>
  </si>
  <si>
    <t xml:space="preserve">Counterpart area </t>
  </si>
  <si>
    <t>Dataset</t>
  </si>
  <si>
    <t>_Z</t>
  </si>
  <si>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</si>
  <si>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</si>
  <si>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</si>
  <si>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</si>
  <si>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</si>
  <si>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</si>
  <si>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Source / Observation status</t>
  </si>
  <si>
    <t>Descriptor</t>
  </si>
  <si>
    <t>Loans</t>
  </si>
  <si>
    <t>SM</t>
  </si>
  <si>
    <t>Public Administration Debt</t>
  </si>
  <si>
    <t>Shot-term borrowing</t>
  </si>
  <si>
    <t>Advances</t>
  </si>
  <si>
    <t>Loan to cover public debt</t>
  </si>
  <si>
    <t>Long-term borrowing</t>
  </si>
  <si>
    <t>External loans</t>
  </si>
  <si>
    <t>Net accounts payable (adjusted)</t>
  </si>
  <si>
    <t>Accounts payable</t>
  </si>
  <si>
    <t>Outstanding</t>
  </si>
  <si>
    <t>Provision for uncollectible accounts receivable</t>
  </si>
  <si>
    <t>Accounts receivable</t>
  </si>
  <si>
    <t>Expected to be uncollectible</t>
  </si>
  <si>
    <t>Debt</t>
  </si>
  <si>
    <t>Descrizione</t>
  </si>
  <si>
    <t>CGD</t>
  </si>
  <si>
    <t>SMR_GCFBL_EUR</t>
  </si>
  <si>
    <t>SMR_GCFBL_S_EUR</t>
  </si>
  <si>
    <t>SMR_GCFBLA_S_EUR</t>
  </si>
  <si>
    <t>SMR_GCFBLPD_S_EUR</t>
  </si>
  <si>
    <t>SMR_GCFBL_L_EUR</t>
  </si>
  <si>
    <t>SMR_GCFBLFX_L_EUR</t>
  </si>
  <si>
    <t>SMR_GCFBLNC_L_EUR</t>
  </si>
  <si>
    <t>SMR_GCFBAP_NET_EUR</t>
  </si>
  <si>
    <t>SMR_GCFBAP_EUR</t>
  </si>
  <si>
    <t>SMR_GCFBAP_O_EUR</t>
  </si>
  <si>
    <t>SMR_GCFBAP_P_EUR</t>
  </si>
  <si>
    <t>SMR_GCFBAR_EUR</t>
  </si>
  <si>
    <t>SMR_GCFBAR_O_EUR</t>
  </si>
  <si>
    <t>SMR_GCFBAR_UC_EUR</t>
  </si>
  <si>
    <t>SMR_GCFD_EUR</t>
  </si>
  <si>
    <t>Prestito a copertura del debito pubblico</t>
  </si>
  <si>
    <t>Prestiti a lungo termine</t>
  </si>
  <si>
    <t>Prestiti esterni</t>
  </si>
  <si>
    <t>Titoli di stato</t>
  </si>
  <si>
    <t>Accantonamento per crediti inesigibili</t>
  </si>
  <si>
    <t>Debito</t>
  </si>
  <si>
    <t>Prestiti</t>
  </si>
  <si>
    <t>Prestiti a breve termine</t>
  </si>
  <si>
    <t>Debiti netti (rettificati)</t>
  </si>
  <si>
    <t xml:space="preserve">Debiti lordi </t>
  </si>
  <si>
    <t>Debiti netti</t>
  </si>
  <si>
    <t>Crediti netti</t>
  </si>
  <si>
    <t>Crediti lordi</t>
  </si>
  <si>
    <t>Crediti di dubbia esibilità</t>
  </si>
  <si>
    <t>Anticipazioni</t>
  </si>
  <si>
    <t>Finanziamenti a breve termine esteri</t>
  </si>
  <si>
    <t xml:space="preserve">Prestiti nazionali </t>
  </si>
  <si>
    <t>Domestic loans</t>
  </si>
  <si>
    <t>Titoli Irredimibili del debito pubblico *</t>
  </si>
  <si>
    <t>Titoli di stato internazionali</t>
  </si>
  <si>
    <t>State bonds domestic</t>
  </si>
  <si>
    <t>State bonds external</t>
  </si>
  <si>
    <t>SMR_GCFBLSBFX_L_EUR</t>
  </si>
  <si>
    <t>SMR_GCFBLSBNC_L_EUR</t>
  </si>
  <si>
    <t>SMR_GCFBLSR_L_EUR</t>
  </si>
  <si>
    <t>Irredeemable title of public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</si>
</sst>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_);\(#,##0.0\)"/>
    <numFmt numFmtId="168" formatCode="0.0_);\(0.0\)"/>
    <numFmt numFmtId="169" formatCode="#,##0.0"/>
    <numFmt numFmtId="170" formatCode="_-[$€]\ * #,##0.00_-;\-[$€]\ * #,##0.00_-;_-[$€]\ * \-??_-;_-@_-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2"/>
      <color theme="1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6E9F5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4" fillId="0" borderId="0"/>
    <xf numFmtId="0" fontId="3" fillId="0" borderId="0"/>
    <xf numFmtId="0" fontId="5" fillId="0" borderId="0"/>
    <xf numFmtId="164" fontId="5" fillId="0" borderId="0" applyFont="0" applyFill="0" applyBorder="0" applyAlignment="0" applyProtection="0"/>
    <xf numFmtId="0" fontId="2" fillId="0" borderId="0"/>
    <xf numFmtId="0" fontId="5" fillId="0" borderId="0"/>
    <xf numFmtId="0" fontId="6" fillId="0" borderId="0"/>
    <xf numFmtId="0" fontId="7" fillId="0" borderId="0"/>
    <xf numFmtId="165" fontId="8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  <xf numFmtId="170" fontId="10" fillId="0" borderId="0"/>
    <xf numFmtId="170" fontId="10" fillId="0" borderId="0"/>
    <xf numFmtId="0" fontId="1" fillId="0" borderId="0"/>
  </cellStyleXfs>
  <cellXfs count="62">
    <xf numFmtId="0" fontId="0" fillId="0" borderId="0" xfId="0"/>
    <xf numFmtId="0" fontId="11" fillId="3" borderId="0" xfId="0" applyFont="1" applyFill="1"/>
    <xf numFmtId="0" fontId="11" fillId="3" borderId="7" xfId="0" applyFont="1" applyFill="1" applyBorder="1" applyAlignment="1">
      <alignment horizontal="left"/>
    </xf>
    <xf numFmtId="0" fontId="11" fillId="3" borderId="7" xfId="0" applyFont="1" applyFill="1" applyBorder="1"/>
    <xf numFmtId="0" fontId="12" fillId="4" borderId="4" xfId="0" applyFont="1" applyFill="1" applyBorder="1" applyAlignment="1">
      <alignment horizontal="left" vertical="top"/>
    </xf>
    <xf numFmtId="0" fontId="11" fillId="2" borderId="0" xfId="0" applyFont="1" applyFill="1" applyAlignment="1">
      <alignment vertical="top"/>
    </xf>
    <xf numFmtId="0" fontId="11" fillId="2" borderId="5" xfId="0" applyFont="1" applyFill="1" applyBorder="1" applyAlignment="1">
      <alignment vertical="top"/>
    </xf>
    <xf numFmtId="0" fontId="13" fillId="2" borderId="0" xfId="0" applyFont="1" applyFill="1" applyAlignment="1">
      <alignment vertical="top"/>
    </xf>
    <xf numFmtId="0" fontId="12" fillId="4" borderId="4" xfId="0" applyFont="1" applyFill="1" applyBorder="1" applyAlignment="1">
      <alignment horizontal="left"/>
    </xf>
    <xf numFmtId="0" fontId="11" fillId="2" borderId="0" xfId="0" applyFont="1" applyFill="1"/>
    <xf numFmtId="0" fontId="11" fillId="2" borderId="5" xfId="0" applyFont="1" applyFill="1" applyBorder="1"/>
    <xf numFmtId="0" fontId="14" fillId="3" borderId="0" xfId="0" applyFont="1" applyFill="1"/>
    <xf numFmtId="0" fontId="13" fillId="2" borderId="0" xfId="0" applyFont="1" applyFill="1"/>
    <xf numFmtId="0" fontId="12" fillId="4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2" fillId="4" borderId="6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left"/>
    </xf>
    <xf numFmtId="0" fontId="11" fillId="2" borderId="8" xfId="0" applyFont="1" applyFill="1" applyBorder="1"/>
    <xf numFmtId="0" fontId="12" fillId="3" borderId="0" xfId="0" applyFont="1" applyFill="1" applyAlignment="1">
      <alignment horizontal="left"/>
    </xf>
    <xf numFmtId="0" fontId="12" fillId="4" borderId="0" xfId="0" applyFont="1" applyFill="1"/>
    <xf numFmtId="0" fontId="13" fillId="6" borderId="0" xfId="0" applyFont="1" applyFill="1" applyAlignment="1" applyProtection="1">
      <alignment horizontal="center" vertical="top"/>
      <protection locked="0"/>
    </xf>
    <xf numFmtId="0" fontId="11" fillId="0" borderId="0" xfId="0" applyFont="1"/>
    <xf numFmtId="0" fontId="15" fillId="0" borderId="0" xfId="0" applyFont="1"/>
    <xf numFmtId="0" fontId="16" fillId="5" borderId="0" xfId="0" applyFont="1" applyFill="1" applyAlignment="1">
      <alignment wrapText="1"/>
    </xf>
    <xf numFmtId="0" fontId="14" fillId="0" borderId="0" xfId="11" applyFont="1" applyFill="1" applyBorder="1" applyAlignment="1">
      <alignment horizontal="center"/>
    </xf>
    <xf numFmtId="166" fontId="15" fillId="0" borderId="0" xfId="0" applyNumberFormat="1" applyFont="1"/>
    <xf numFmtId="169" fontId="11" fillId="0" borderId="0" xfId="0" applyNumberFormat="1" applyFont="1"/>
    <xf numFmtId="169" fontId="11" fillId="7" borderId="0" xfId="0" applyNumberFormat="1" applyFont="1" applyFill="1"/>
    <xf numFmtId="0" fontId="15" fillId="7" borderId="0" xfId="0" applyFont="1" applyFill="1"/>
    <xf numFmtId="2" fontId="11" fillId="0" borderId="0" xfId="0" applyNumberFormat="1" applyFont="1"/>
    <xf numFmtId="169" fontId="11" fillId="0" borderId="0" xfId="0" applyNumberFormat="1" applyFont="1" applyAlignment="1">
      <alignment horizontal="left" indent="2"/>
    </xf>
    <xf numFmtId="169" fontId="11" fillId="7" borderId="0" xfId="0" applyNumberFormat="1" applyFont="1" applyFill="1" applyAlignment="1">
      <alignment horizontal="left" indent="2"/>
    </xf>
    <xf numFmtId="2" fontId="11" fillId="0" borderId="0" xfId="12" applyNumberFormat="1" applyFont="1"/>
    <xf numFmtId="2" fontId="11" fillId="0" borderId="0" xfId="13" applyNumberFormat="1" applyFont="1"/>
    <xf numFmtId="169" fontId="11" fillId="0" borderId="0" xfId="0" applyNumberFormat="1" applyFont="1" applyAlignment="1">
      <alignment horizontal="left" indent="4"/>
    </xf>
    <xf numFmtId="169" fontId="11" fillId="7" borderId="0" xfId="0" applyNumberFormat="1" applyFont="1" applyFill="1" applyAlignment="1">
      <alignment horizontal="left" indent="4"/>
    </xf>
    <xf numFmtId="169" fontId="17" fillId="0" borderId="0" xfId="0" applyNumberFormat="1" applyFont="1"/>
    <xf numFmtId="169" fontId="17" fillId="7" borderId="0" xfId="0" applyNumberFormat="1" applyFont="1" applyFill="1"/>
    <xf numFmtId="2" fontId="17" fillId="0" borderId="0" xfId="0" applyNumberFormat="1" applyFont="1"/>
    <xf numFmtId="0" fontId="11" fillId="0" borderId="0" xfId="0" applyFont="1" applyAlignment="1">
      <alignment horizontal="left"/>
    </xf>
    <xf numFmtId="3" fontId="15" fillId="0" borderId="0" xfId="10" applyNumberFormat="1" applyFont="1" applyAlignment="1">
      <alignment horizontal="left" vertical="center" indent="1"/>
    </xf>
    <xf numFmtId="0" fontId="13" fillId="0" borderId="0" xfId="0" applyFont="1" applyAlignment="1" applyProtection="1">
      <alignment vertical="top"/>
      <protection locked="0"/>
    </xf>
    <xf numFmtId="167" fontId="11" fillId="0" borderId="0" xfId="0" applyNumberFormat="1" applyFont="1"/>
    <xf numFmtId="3" fontId="15" fillId="0" borderId="0" xfId="10" applyNumberFormat="1" applyFont="1" applyAlignment="1">
      <alignment horizontal="left" vertical="center" indent="2"/>
    </xf>
    <xf numFmtId="167" fontId="13" fillId="0" borderId="0" xfId="9" applyNumberFormat="1" applyFont="1" applyBorder="1" applyAlignment="1">
      <alignment horizontal="right"/>
    </xf>
    <xf numFmtId="165" fontId="13" fillId="0" borderId="0" xfId="9" applyFont="1" applyBorder="1" applyAlignment="1">
      <alignment horizontal="right"/>
    </xf>
    <xf numFmtId="3" fontId="16" fillId="0" borderId="0" xfId="10" applyNumberFormat="1" applyFont="1" applyAlignment="1">
      <alignment horizontal="left" vertical="center"/>
    </xf>
    <xf numFmtId="168" fontId="11" fillId="0" borderId="0" xfId="0" applyNumberFormat="1" applyFont="1"/>
    <xf numFmtId="168" fontId="13" fillId="0" borderId="0" xfId="9" applyNumberFormat="1" applyFont="1" applyBorder="1" applyAlignment="1">
      <alignment horizontal="right"/>
    </xf>
    <xf numFmtId="0" fontId="16" fillId="0" borderId="0" xfId="0" applyFont="1"/>
    <xf numFmtId="4" fontId="11" fillId="0" borderId="0" xfId="0" applyNumberFormat="1" applyFont="1"/>
    <xf numFmtId="2" fontId="15" fillId="0" borderId="0" xfId="0" applyNumberFormat="1" applyFont="1"/>
    <xf numFmtId="2" fontId="13" fillId="0" borderId="0" xfId="0" applyNumberFormat="1" applyFont="1"/>
    <xf numFmtId="0" fontId="13" fillId="0" borderId="0" xfId="0" applyFont="1"/>
    <xf numFmtId="2" fontId="15" fillId="0" borderId="0" xfId="0" applyNumberFormat="1" applyFont="1" applyFill="1"/>
    <xf numFmtId="2" fontId="13" fillId="0" borderId="0" xfId="0" applyNumberFormat="1" applyFont="1" applyFill="1"/>
    <xf numFmtId="2" fontId="11" fillId="0" borderId="0" xfId="0" applyNumberFormat="1" applyFont="1" applyFill="1"/>
    <xf numFmtId="4" fontId="11" fillId="0" borderId="0" xfId="0" applyNumberFormat="1" applyFont="1" applyFill="1"/>
    <xf numFmtId="0" fontId="11" fillId="0" borderId="0" xfId="0" applyFont="1" applyFill="1"/>
    <xf numFmtId="169" fontId="11" fillId="0" borderId="0" xfId="0" applyNumberFormat="1" applyFont="1" applyFill="1"/>
  </cellXfs>
  <cellStyles count="15">
    <cellStyle name="Collegamento ipertestuale" xfId="11" builtinId="8"/>
    <cellStyle name="Comma [0] 2" xfId="4"/>
    <cellStyle name="Heading 1 2 18" xfId="12"/>
    <cellStyle name="Heading 1 2 18 2" xfId="13"/>
    <cellStyle name="Migliaia" xfId="9" builtinId="3"/>
    <cellStyle name="Normal 2" xfId="3"/>
    <cellStyle name="Normal 2 93" xfId="8"/>
    <cellStyle name="Normal 3" xfId="5"/>
    <cellStyle name="Normal 3 102" xfId="10"/>
    <cellStyle name="Normal 3 2" xfId="14"/>
    <cellStyle name="Normal 4" xfId="1"/>
    <cellStyle name="Normal 4 2 3 2" xfId="6"/>
    <cellStyle name="Normal 5" xfId="2"/>
    <cellStyle name="Normal 89" xfId="7"/>
    <cellStyle name="Normale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156</xdr:row>
      <xdr:rowOff>0</xdr:rowOff>
    </xdr:from>
    <xdr:to>
      <xdr:col>4</xdr:col>
      <xdr:colOff>85725</xdr:colOff>
      <xdr:row>156</xdr:row>
      <xdr:rowOff>28575</xdr:rowOff>
    </xdr:to>
    <xdr:pic>
      <xdr:nvPicPr>
        <xdr:cNvPr id="2" name="Picture 1" descr="http://www.apcma.com/images/whitebg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7075" y="3152775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85725</xdr:colOff>
      <xdr:row>156</xdr:row>
      <xdr:rowOff>28575</xdr:rowOff>
    </xdr:to>
    <xdr:pic>
      <xdr:nvPicPr>
        <xdr:cNvPr id="3" name="Picture 2" descr="http://www.apcma.com/images/whitebg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7075" y="3152775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31</xdr:col>
      <xdr:colOff>0</xdr:colOff>
      <xdr:row>23</xdr:row>
      <xdr:rowOff>9525</xdr:rowOff>
    </xdr:from>
    <xdr:to>
      <xdr:col>35</xdr:col>
      <xdr:colOff>200025</xdr:colOff>
      <xdr:row>29</xdr:row>
      <xdr:rowOff>28574</xdr:rowOff>
    </xdr:to>
    <xdr:sp macro="" textlink="">
      <xdr:nvSpPr>
        <xdr:cNvPr id="4" name="CasellaDiTesto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5527000" y="4610100"/>
          <a:ext cx="2638425" cy="12191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ai sensi dell'art.2, e 3 della Legge n.223/2020 il 30 dicembre 2020 e del Decreto-Legge 19 luglio 2021 n.133 sono stati emessi titoli irredimibili del debito pubblico per un valore nominale rispettivamente di €455.000.000,00 e €19.000.000,00.Trattasi di obbligazioni senza scadenza con il solo obbligo del pagamento degli interessi al 31 dicembre e al 30 settembre di ogni anno.</a:t>
          </a:r>
        </a:p>
        <a:p>
          <a:endParaRPr lang="it-IT" sz="8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R55"/>
  <sheetViews>
    <sheetView tabSelected="1" zoomScaleNormal="100" workbookViewId="0">
      <pane xSplit="4" ySplit="11" topLeftCell="E12" activePane="bottomRight" state="frozen"/>
      <selection pane="topRight" activeCell="F1" sqref="F1"/>
      <selection pane="bottomLeft" activeCell="A10" sqref="A10"/>
      <selection pane="bottomRight" activeCell="C20" sqref="C20"/>
    </sheetView>
  </sheetViews>
  <sheetFormatPr defaultRowHeight="15.75" customHeight="1" x14ac:dyDescent="0.25"/>
  <cols>
    <col min="1" max="1" width="1.42578125" style="1" customWidth="1"/>
    <col min="2" max="2" width="25.28515625" style="41" bestFit="1" customWidth="1"/>
    <col min="3" max="3" width="50.5703125" style="41" bestFit="1" customWidth="1"/>
    <col min="4" max="4" width="51.42578125" style="23" customWidth="1"/>
    <col min="5" max="5" width="24" style="23" bestFit="1" customWidth="1"/>
    <col min="6" max="6" width="10.7109375" style="23" customWidth="1"/>
    <col min="7" max="16384" width="9.140625" style="23"/>
  </cols>
  <sheetData>
    <row r="1" spans="2:30 16163:16164" s="1" customFormat="1" ht="15.75" customHeight="1" thickBot="1" x14ac:dyDescent="0.3">
      <c r="B1" s="2"/>
      <c r="C1" s="2"/>
      <c r="D1" s="3"/>
    </row>
    <row r="2" spans="2:30 16163:16164" s="1" customFormat="1" ht="15.75" customHeight="1" x14ac:dyDescent="0.25">
      <c r="B2" s="4" t="s">
        <v>15</v>
      </c>
      <c r="C2" s="5" t="s">
        <v>16</v>
      </c>
      <c r="D2" s="6" t="s">
        <v>17</v>
      </c>
    </row>
    <row r="3" spans="2:30 16163:16164" s="1" customFormat="1" ht="15.75" customHeight="1" x14ac:dyDescent="0.25">
      <c r="B3" s="4" t="s">
        <v>18</v>
      </c>
      <c r="C3" s="7" t="s">
        <v>19</v>
      </c>
      <c r="D3" s="6" t="s">
        <v>20</v>
      </c>
    </row>
    <row r="4" spans="2:30 16163:16164" s="1" customFormat="1" ht="15.75" customHeight="1" x14ac:dyDescent="0.25">
      <c r="B4" s="8" t="s">
        <v>0</v>
      </c>
      <c r="C4" s="9" t="s">
        <v>39</v>
      </c>
      <c r="D4" s="10" t="s">
        <v>13</v>
      </c>
      <c r="WWQ4" s="11" t="s">
        <v>9</v>
      </c>
      <c r="WWR4" s="11">
        <v>0</v>
      </c>
    </row>
    <row r="5" spans="2:30 16163:16164" s="1" customFormat="1" ht="15.75" customHeight="1" x14ac:dyDescent="0.25">
      <c r="B5" s="8" t="s">
        <v>1</v>
      </c>
      <c r="C5" s="12" t="s">
        <v>24</v>
      </c>
      <c r="D5" s="10" t="s">
        <v>11</v>
      </c>
      <c r="WWQ5" s="11" t="s">
        <v>8</v>
      </c>
      <c r="WWR5" s="11">
        <v>3</v>
      </c>
    </row>
    <row r="6" spans="2:30 16163:16164" s="1" customFormat="1" ht="15.75" customHeight="1" thickBot="1" x14ac:dyDescent="0.3">
      <c r="B6" s="8" t="s">
        <v>2</v>
      </c>
      <c r="C6" s="9" t="s">
        <v>14</v>
      </c>
      <c r="D6" s="10" t="s">
        <v>12</v>
      </c>
      <c r="WWQ6" s="11" t="s">
        <v>4</v>
      </c>
      <c r="WWR6" s="11">
        <v>6</v>
      </c>
    </row>
    <row r="7" spans="2:30 16163:16164" s="1" customFormat="1" ht="15.75" customHeight="1" x14ac:dyDescent="0.25">
      <c r="B7" s="13" t="s">
        <v>5</v>
      </c>
      <c r="C7" s="14">
        <v>6</v>
      </c>
      <c r="D7" s="15" t="str">
        <f>"Scale = "&amp;IF(C7=0,"Unit",(IF(C7=3,"Thousand",(IF(C7=6,"Million",(IF(C7=9,"Billion")))))))</f>
        <v>Scale = Million</v>
      </c>
      <c r="WWQ7" s="11"/>
      <c r="WWR7" s="11">
        <v>9</v>
      </c>
    </row>
    <row r="8" spans="2:30 16163:16164" s="1" customFormat="1" ht="15.75" customHeight="1" x14ac:dyDescent="0.25">
      <c r="B8" s="8" t="s">
        <v>3</v>
      </c>
      <c r="C8" s="9" t="s">
        <v>4</v>
      </c>
      <c r="D8" s="16" t="str">
        <f>"Frequency = "&amp;IF(C8="A","Annual",IF(C8="Q", "Quarterly", "Monthly"))</f>
        <v>Frequency = Annual</v>
      </c>
      <c r="WWQ8" s="11"/>
      <c r="WWR8" s="11"/>
    </row>
    <row r="9" spans="2:30 16163:16164" s="1" customFormat="1" ht="15.75" customHeight="1" thickBot="1" x14ac:dyDescent="0.3">
      <c r="B9" s="17" t="s">
        <v>10</v>
      </c>
      <c r="C9" s="18"/>
      <c r="D9" s="19" t="s">
        <v>21</v>
      </c>
    </row>
    <row r="10" spans="2:30 16163:16164" s="1" customFormat="1" ht="15.75" customHeight="1" x14ac:dyDescent="0.25">
      <c r="B10" s="20"/>
    </row>
    <row r="11" spans="2:30 16163:16164" ht="15.75" customHeight="1" x14ac:dyDescent="0.25">
      <c r="B11" s="21" t="s">
        <v>7</v>
      </c>
      <c r="C11" s="21" t="s">
        <v>22</v>
      </c>
      <c r="D11" s="21" t="s">
        <v>38</v>
      </c>
      <c r="E11" s="21" t="s">
        <v>6</v>
      </c>
      <c r="F11" s="22">
        <v>2000</v>
      </c>
      <c r="G11" s="22">
        <v>2001</v>
      </c>
      <c r="H11" s="22">
        <v>2002</v>
      </c>
      <c r="I11" s="22">
        <v>2003</v>
      </c>
      <c r="J11" s="22">
        <v>2004</v>
      </c>
      <c r="K11" s="22">
        <v>2005</v>
      </c>
      <c r="L11" s="22">
        <v>2006</v>
      </c>
      <c r="M11" s="22">
        <v>2007</v>
      </c>
      <c r="N11" s="22">
        <v>2008</v>
      </c>
      <c r="O11" s="22">
        <v>2009</v>
      </c>
      <c r="P11" s="22">
        <v>2010</v>
      </c>
      <c r="Q11" s="22">
        <v>2011</v>
      </c>
      <c r="R11" s="22">
        <v>2012</v>
      </c>
      <c r="S11" s="22">
        <v>2013</v>
      </c>
      <c r="T11" s="22">
        <v>2014</v>
      </c>
      <c r="U11" s="22">
        <v>2015</v>
      </c>
      <c r="V11" s="22">
        <v>2016</v>
      </c>
      <c r="W11" s="22">
        <v>2017</v>
      </c>
      <c r="X11" s="22">
        <v>2018</v>
      </c>
      <c r="Y11" s="22">
        <v>2019</v>
      </c>
      <c r="Z11" s="22">
        <v>2020</v>
      </c>
      <c r="AA11" s="22">
        <v>2021</v>
      </c>
      <c r="AB11" s="22">
        <v>2022</v>
      </c>
      <c r="AC11" s="22">
        <v>2023</v>
      </c>
      <c r="AD11" s="22">
        <v>2024</v>
      </c>
    </row>
    <row r="12" spans="2:30 16163:16164" s="24" customFormat="1" x14ac:dyDescent="0.25">
      <c r="C12" s="25" t="s">
        <v>25</v>
      </c>
      <c r="D12" s="25"/>
      <c r="E12" s="26"/>
      <c r="K12" s="27"/>
    </row>
    <row r="13" spans="2:30 16163:16164" s="24" customFormat="1" x14ac:dyDescent="0.25"/>
    <row r="14" spans="2:30 16163:16164" s="24" customFormat="1" x14ac:dyDescent="0.25">
      <c r="B14" s="24" t="s">
        <v>40</v>
      </c>
      <c r="C14" s="28" t="s">
        <v>23</v>
      </c>
      <c r="D14" s="29" t="s">
        <v>61</v>
      </c>
      <c r="E14" s="30" t="s">
        <v>40</v>
      </c>
      <c r="F14" s="28">
        <f>SUM(F15:F19)</f>
        <v>48.665843000000002</v>
      </c>
      <c r="G14" s="28">
        <f t="shared" ref="G14:L14" si="0">SUM(G15:G19)</f>
        <v>66.139854</v>
      </c>
      <c r="H14" s="28">
        <f t="shared" si="0"/>
        <v>71.063135770000002</v>
      </c>
      <c r="I14" s="28">
        <f t="shared" si="0"/>
        <v>73.543273740000004</v>
      </c>
      <c r="J14" s="28">
        <f t="shared" si="0"/>
        <v>71.91776428</v>
      </c>
      <c r="K14" s="28">
        <f t="shared" si="0"/>
        <v>67.126634659999993</v>
      </c>
      <c r="L14" s="28">
        <f t="shared" si="0"/>
        <v>62.292880750000002</v>
      </c>
      <c r="M14" s="28">
        <v>58.829878100000002</v>
      </c>
      <c r="N14" s="28">
        <v>65.054201500000005</v>
      </c>
      <c r="O14" s="28">
        <v>62.400649319999999</v>
      </c>
      <c r="P14" s="28">
        <v>54.951889199999997</v>
      </c>
      <c r="Q14" s="28">
        <v>47.019294789999996</v>
      </c>
      <c r="R14" s="31">
        <f>SUM(R15:R19)</f>
        <v>99.34606866</v>
      </c>
      <c r="S14" s="31">
        <f>S16+S18+S19+S22</f>
        <v>193.62744637</v>
      </c>
      <c r="T14" s="31">
        <f>T16+T18+T19+T22</f>
        <v>184.73480841</v>
      </c>
      <c r="U14" s="31">
        <f t="shared" ref="U14:Y14" si="1">U15+U19+U22</f>
        <v>207.13047564999999</v>
      </c>
      <c r="V14" s="31">
        <f t="shared" si="1"/>
        <v>247.02660319000003</v>
      </c>
      <c r="W14" s="31">
        <f t="shared" si="1"/>
        <v>260.53549052</v>
      </c>
      <c r="X14" s="31">
        <f t="shared" si="1"/>
        <v>313.94511130000001</v>
      </c>
      <c r="Y14" s="31">
        <f t="shared" si="1"/>
        <v>342.65150320999999</v>
      </c>
      <c r="Z14" s="53">
        <f t="shared" ref="Z14" si="2">Z15+Z19+Z22</f>
        <v>482.91568276000004</v>
      </c>
      <c r="AA14" s="53">
        <f>AA15+AA19+AA22+AA23</f>
        <v>508.40250202999999</v>
      </c>
      <c r="AB14" s="31">
        <f>AB15+AB19+AB22+AB23</f>
        <v>735.09875851000004</v>
      </c>
      <c r="AC14" s="58">
        <f>AC15+AC19+AC22+AC23</f>
        <v>772.50768656000002</v>
      </c>
      <c r="AD14" s="58">
        <f>AD15+AD19+AD22+AD23</f>
        <v>698.85164887999997</v>
      </c>
    </row>
    <row r="15" spans="2:30 16163:16164" s="24" customFormat="1" x14ac:dyDescent="0.25">
      <c r="B15" s="24" t="s">
        <v>41</v>
      </c>
      <c r="C15" s="32" t="s">
        <v>26</v>
      </c>
      <c r="D15" s="33" t="s">
        <v>62</v>
      </c>
      <c r="E15" s="30" t="s">
        <v>41</v>
      </c>
      <c r="F15" s="28">
        <v>11.17</v>
      </c>
      <c r="G15" s="28">
        <v>26.77</v>
      </c>
      <c r="H15" s="28">
        <v>24.373812770000001</v>
      </c>
      <c r="I15" s="28">
        <v>24.536806739999999</v>
      </c>
      <c r="J15" s="28">
        <v>24.555967280000001</v>
      </c>
      <c r="K15" s="28">
        <v>2.9267346600000002</v>
      </c>
      <c r="L15" s="28">
        <v>2.2256499999999999</v>
      </c>
      <c r="M15" s="28">
        <v>6.23</v>
      </c>
      <c r="N15" s="28">
        <v>10.33</v>
      </c>
      <c r="O15" s="28">
        <v>13.83</v>
      </c>
      <c r="P15" s="28">
        <v>14.5</v>
      </c>
      <c r="Q15" s="28">
        <v>14.5</v>
      </c>
      <c r="R15" s="31">
        <v>74.5</v>
      </c>
      <c r="S15" s="34">
        <f t="shared" ref="S15:Y15" si="3">S16+S18</f>
        <v>91.639022060000002</v>
      </c>
      <c r="T15" s="34">
        <f t="shared" si="3"/>
        <v>31.639022059999999</v>
      </c>
      <c r="U15" s="34">
        <f t="shared" si="3"/>
        <v>46.998000000000005</v>
      </c>
      <c r="V15" s="35">
        <f>V16+V18</f>
        <v>15</v>
      </c>
      <c r="W15" s="35">
        <f t="shared" si="3"/>
        <v>25</v>
      </c>
      <c r="X15" s="35">
        <f t="shared" si="3"/>
        <v>55</v>
      </c>
      <c r="Y15" s="35">
        <f t="shared" si="3"/>
        <v>55</v>
      </c>
      <c r="Z15" s="53">
        <f>Z16+Z18+Z17</f>
        <v>205</v>
      </c>
      <c r="AA15" s="53">
        <f>AA16+AA18+AA17</f>
        <v>0</v>
      </c>
      <c r="AB15" s="53">
        <f>AB16+AB18+AB17</f>
        <v>0</v>
      </c>
      <c r="AC15" s="56">
        <f>AC16+AC18+AC17</f>
        <v>0</v>
      </c>
      <c r="AD15" s="56">
        <f>AD16+AD18+AD17</f>
        <v>0</v>
      </c>
    </row>
    <row r="16" spans="2:30 16163:16164" s="24" customFormat="1" x14ac:dyDescent="0.25">
      <c r="B16" s="24" t="s">
        <v>42</v>
      </c>
      <c r="C16" s="36" t="s">
        <v>27</v>
      </c>
      <c r="D16" s="37" t="s">
        <v>69</v>
      </c>
      <c r="E16" s="30" t="s">
        <v>42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31"/>
      <c r="S16" s="31">
        <f>(60000000+14500000)/1000000</f>
        <v>74.5</v>
      </c>
      <c r="T16" s="31">
        <f>14500000/1000000</f>
        <v>14.5</v>
      </c>
      <c r="U16" s="31">
        <f>15000000/1000000</f>
        <v>15</v>
      </c>
      <c r="V16" s="31">
        <f>15000000/1000000</f>
        <v>15</v>
      </c>
      <c r="W16" s="31">
        <f>25000000/1000000</f>
        <v>25</v>
      </c>
      <c r="X16" s="31">
        <f>(35000000+20000000)/1000000</f>
        <v>55</v>
      </c>
      <c r="Y16" s="31">
        <f>(35000000+20000000)/1000000</f>
        <v>55</v>
      </c>
      <c r="Z16" s="31">
        <f>(35000000+20000000)/1000000</f>
        <v>55</v>
      </c>
      <c r="AA16" s="31">
        <v>0</v>
      </c>
      <c r="AB16" s="31">
        <v>0</v>
      </c>
      <c r="AC16" s="58">
        <v>0</v>
      </c>
      <c r="AD16" s="58">
        <v>0</v>
      </c>
    </row>
    <row r="17" spans="2:30" s="24" customFormat="1" x14ac:dyDescent="0.25">
      <c r="C17" s="36"/>
      <c r="D17" s="37" t="s">
        <v>70</v>
      </c>
      <c r="E17" s="30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31"/>
      <c r="S17" s="31"/>
      <c r="T17" s="31"/>
      <c r="U17" s="31"/>
      <c r="V17" s="31"/>
      <c r="W17" s="31"/>
      <c r="X17" s="31"/>
      <c r="Y17" s="31"/>
      <c r="Z17" s="53">
        <f>150000000/1000000</f>
        <v>150</v>
      </c>
      <c r="AA17" s="31">
        <v>0</v>
      </c>
      <c r="AB17" s="31">
        <v>0</v>
      </c>
      <c r="AC17" s="58">
        <v>0</v>
      </c>
      <c r="AD17" s="58">
        <v>0</v>
      </c>
    </row>
    <row r="18" spans="2:30" s="24" customFormat="1" x14ac:dyDescent="0.25">
      <c r="B18" s="24" t="s">
        <v>43</v>
      </c>
      <c r="C18" s="36" t="s">
        <v>28</v>
      </c>
      <c r="D18" s="37" t="s">
        <v>55</v>
      </c>
      <c r="E18" s="30" t="s">
        <v>43</v>
      </c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31"/>
      <c r="S18" s="31">
        <f>17139022.06/1000000</f>
        <v>17.139022059999999</v>
      </c>
      <c r="T18" s="31">
        <f>17139022.06/1000000</f>
        <v>17.139022059999999</v>
      </c>
      <c r="U18" s="31">
        <f>31998000/1000000</f>
        <v>31.998000000000001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58">
        <v>0</v>
      </c>
      <c r="AD18" s="58">
        <v>0</v>
      </c>
    </row>
    <row r="19" spans="2:30" s="24" customFormat="1" x14ac:dyDescent="0.25">
      <c r="B19" s="24" t="s">
        <v>44</v>
      </c>
      <c r="C19" s="32" t="s">
        <v>29</v>
      </c>
      <c r="D19" s="33" t="s">
        <v>56</v>
      </c>
      <c r="E19" s="30" t="s">
        <v>44</v>
      </c>
      <c r="F19" s="28">
        <f>SUM(F20:F21)</f>
        <v>37.495843000000001</v>
      </c>
      <c r="G19" s="28">
        <f t="shared" ref="G19:L19" si="4">SUM(G20:G21)</f>
        <v>39.369853999999997</v>
      </c>
      <c r="H19" s="28">
        <f t="shared" si="4"/>
        <v>46.689323000000002</v>
      </c>
      <c r="I19" s="28">
        <f t="shared" si="4"/>
        <v>49.006467000000001</v>
      </c>
      <c r="J19" s="28">
        <f t="shared" si="4"/>
        <v>47.361797000000003</v>
      </c>
      <c r="K19" s="28">
        <f t="shared" si="4"/>
        <v>64.1999</v>
      </c>
      <c r="L19" s="28">
        <f t="shared" si="4"/>
        <v>60.06723075</v>
      </c>
      <c r="M19" s="28">
        <v>52.599878099999998</v>
      </c>
      <c r="N19" s="28">
        <v>54.724201499999999</v>
      </c>
      <c r="O19" s="28">
        <v>48.570649320000001</v>
      </c>
      <c r="P19" s="28">
        <v>40.451889199999997</v>
      </c>
      <c r="Q19" s="28">
        <v>32.519294790000004</v>
      </c>
      <c r="R19" s="31">
        <f t="shared" ref="R19:Y19" si="5">SUM(R20:R21)</f>
        <v>24.84606866</v>
      </c>
      <c r="S19" s="31">
        <f t="shared" si="5"/>
        <v>16.988424309999999</v>
      </c>
      <c r="T19" s="31">
        <f t="shared" si="5"/>
        <v>66.874150999999998</v>
      </c>
      <c r="U19" s="31">
        <f t="shared" si="5"/>
        <v>72.675365130000003</v>
      </c>
      <c r="V19" s="31">
        <f>SUM(V20:V21)</f>
        <v>93.312856390000007</v>
      </c>
      <c r="W19" s="31">
        <f t="shared" si="5"/>
        <v>95.550558930000008</v>
      </c>
      <c r="X19" s="31">
        <f t="shared" si="5"/>
        <v>117.67078002999999</v>
      </c>
      <c r="Y19" s="31">
        <f t="shared" si="5"/>
        <v>111.06929637999998</v>
      </c>
      <c r="Z19" s="53">
        <f t="shared" ref="Z19" si="6">SUM(Z20:Z21)</f>
        <v>100.00319919</v>
      </c>
      <c r="AA19" s="53">
        <f>SUM(AA20:AA21)</f>
        <v>84.402502029999994</v>
      </c>
      <c r="AB19" s="31">
        <f>SUM(AB20:AB21)</f>
        <v>65.527758509999998</v>
      </c>
      <c r="AC19" s="58">
        <f>SUM(AC20:AC21)</f>
        <v>47.42968656</v>
      </c>
      <c r="AD19" s="58">
        <f>SUM(AD20:AD21)</f>
        <v>29.108648880000001</v>
      </c>
    </row>
    <row r="20" spans="2:30" s="24" customFormat="1" x14ac:dyDescent="0.25">
      <c r="B20" s="24" t="s">
        <v>45</v>
      </c>
      <c r="C20" s="36" t="s">
        <v>30</v>
      </c>
      <c r="D20" s="37" t="s">
        <v>57</v>
      </c>
      <c r="E20" s="30" t="s">
        <v>45</v>
      </c>
      <c r="F20" s="28">
        <v>14.109989000000001</v>
      </c>
      <c r="G20" s="28">
        <v>13.271504999999999</v>
      </c>
      <c r="H20" s="28">
        <v>13.567834</v>
      </c>
      <c r="I20" s="28">
        <v>12.67263</v>
      </c>
      <c r="J20" s="28">
        <v>12.261797</v>
      </c>
      <c r="K20" s="28">
        <v>11.6999</v>
      </c>
      <c r="L20" s="28">
        <v>11.16723075</v>
      </c>
      <c r="M20" s="28">
        <v>10.597319450000001</v>
      </c>
      <c r="N20" s="28">
        <v>9.7728497599999997</v>
      </c>
      <c r="O20" s="28">
        <v>8.9242274199999994</v>
      </c>
      <c r="P20" s="28">
        <v>7.9292550000000004</v>
      </c>
      <c r="Q20" s="28">
        <v>7.2331178999999999</v>
      </c>
      <c r="R20" s="31">
        <v>6.5057019699999996</v>
      </c>
      <c r="S20" s="31">
        <v>5.97659261</v>
      </c>
      <c r="T20" s="31">
        <f>5410321.4/1000000</f>
        <v>5.4103213999999999</v>
      </c>
      <c r="U20" s="31">
        <f>4919743.79/1000000</f>
        <v>4.9197437900000001</v>
      </c>
      <c r="V20" s="31">
        <f>4385014.19/1000000</f>
        <v>4.3850141900000006</v>
      </c>
      <c r="W20" s="31">
        <f>3802158.93/1000000</f>
        <v>3.80215893</v>
      </c>
      <c r="X20" s="31">
        <f>3166846.7/1000000</f>
        <v>3.1668467000000002</v>
      </c>
      <c r="Y20" s="31">
        <f>2474356.37/1000000</f>
        <v>2.4743563700000002</v>
      </c>
      <c r="Z20" s="53">
        <f>8719541.9/1000000</f>
        <v>8.7195419000000012</v>
      </c>
      <c r="AA20" s="53">
        <f>10430127.46/1000000</f>
        <v>10.430127460000001</v>
      </c>
      <c r="AB20" s="53">
        <f>(6066666.66+2800000)/1000000</f>
        <v>8.8666666599999999</v>
      </c>
      <c r="AC20" s="56">
        <f>(5599999.99+2600000)/1000000</f>
        <v>8.1999999900000002</v>
      </c>
      <c r="AD20" s="56">
        <f>(5133333.32+2400000)/1000000</f>
        <v>7.5333333200000006</v>
      </c>
    </row>
    <row r="21" spans="2:30" s="24" customFormat="1" x14ac:dyDescent="0.25">
      <c r="B21" s="24" t="s">
        <v>46</v>
      </c>
      <c r="C21" s="36" t="s">
        <v>72</v>
      </c>
      <c r="D21" s="37" t="s">
        <v>71</v>
      </c>
      <c r="E21" s="30" t="s">
        <v>46</v>
      </c>
      <c r="F21" s="28">
        <v>23.385853999999998</v>
      </c>
      <c r="G21" s="28">
        <v>26.098348999999999</v>
      </c>
      <c r="H21" s="28">
        <v>33.121489000000004</v>
      </c>
      <c r="I21" s="28">
        <v>36.333837000000003</v>
      </c>
      <c r="J21" s="28">
        <v>35.1</v>
      </c>
      <c r="K21" s="28">
        <v>52.5</v>
      </c>
      <c r="L21" s="28">
        <v>48.9</v>
      </c>
      <c r="M21" s="28">
        <v>42.002558649999997</v>
      </c>
      <c r="N21" s="28">
        <v>44.95135174</v>
      </c>
      <c r="O21" s="28">
        <v>39.6464219</v>
      </c>
      <c r="P21" s="28">
        <v>32.522634199999999</v>
      </c>
      <c r="Q21" s="28">
        <v>25.28617689</v>
      </c>
      <c r="R21" s="31">
        <v>18.34036669</v>
      </c>
      <c r="S21" s="31">
        <v>11.0118317</v>
      </c>
      <c r="T21" s="31">
        <f>61463829.6/1000000</f>
        <v>61.463829600000004</v>
      </c>
      <c r="U21" s="31">
        <f>67755621.34/1000000</f>
        <v>67.755621340000005</v>
      </c>
      <c r="V21" s="31">
        <f>88927842.2/1000000</f>
        <v>88.927842200000001</v>
      </c>
      <c r="W21" s="31">
        <f>91748400/1000000</f>
        <v>91.748400000000004</v>
      </c>
      <c r="X21" s="31">
        <f>114503933.33/1000000</f>
        <v>114.50393333</v>
      </c>
      <c r="Y21" s="31">
        <f>(7250000+32500000+19198800+10500000+25833333.33+2944000+7037703.96+994480.75+86621.97+2250000)/1000000</f>
        <v>108.59494000999999</v>
      </c>
      <c r="Z21" s="53">
        <f>91283657.29/1000000</f>
        <v>91.283657290000008</v>
      </c>
      <c r="AA21" s="53">
        <f>73972374.57/1000000</f>
        <v>73.972374569999999</v>
      </c>
      <c r="AB21" s="31">
        <f>(2900000+17500000+9599399.97+6000000+10833333.33+2560000+6157990.95+331493.59+28874.01+750000)/1000000</f>
        <v>56.661091849999998</v>
      </c>
      <c r="AC21" s="58">
        <f>(1450000+12500000+6399599.96+4500000+5833333.33+2432000+5864753.28+250000)/1000000</f>
        <v>39.229686569999998</v>
      </c>
      <c r="AD21" s="58">
        <f>(7500000+3199799.95+3000000+2304000+5571515.61)/1000000</f>
        <v>21.57531556</v>
      </c>
    </row>
    <row r="22" spans="2:30" s="24" customFormat="1" x14ac:dyDescent="0.25">
      <c r="B22" s="24" t="s">
        <v>77</v>
      </c>
      <c r="C22" s="36" t="s">
        <v>75</v>
      </c>
      <c r="D22" s="37" t="s">
        <v>58</v>
      </c>
      <c r="E22" s="30" t="s">
        <v>77</v>
      </c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31"/>
      <c r="S22" s="31">
        <v>85</v>
      </c>
      <c r="T22" s="31">
        <f>(85000300+3313.3+1218022.05)/1000000</f>
        <v>86.22163535</v>
      </c>
      <c r="U22" s="31">
        <f>(85000300+3313.3+1218022.05+1235475.17)/1000000</f>
        <v>87.457110520000001</v>
      </c>
      <c r="V22" s="31">
        <f>(88713746.8+40000000+10000000)/1000000</f>
        <v>138.71374680000002</v>
      </c>
      <c r="W22" s="31">
        <f>(89984931.59+40000000+10000000)/1000000</f>
        <v>139.98493159</v>
      </c>
      <c r="X22" s="31">
        <f>(91274331.27+40000000+10000000)/1000000</f>
        <v>141.27433126999998</v>
      </c>
      <c r="Y22" s="31">
        <f>(92582206.83+40000000+10000000+34000000)/1000000</f>
        <v>176.58220682999999</v>
      </c>
      <c r="Z22" s="31">
        <f>(93912483.57+40000000+10000000+34000000)/1000000</f>
        <v>177.91248357000001</v>
      </c>
      <c r="AA22" s="31">
        <f>(40000000+10000000+34000000)/1000000</f>
        <v>84</v>
      </c>
      <c r="AB22" s="31">
        <f>(40000000+10000000+34000000+50000000+53770000+55024000+86777000)/1000000</f>
        <v>329.57100000000003</v>
      </c>
      <c r="AC22" s="58">
        <f>(40000000+10000000+34000000+46770000+55024000+86777000+50000000)/1000000</f>
        <v>322.57100000000003</v>
      </c>
      <c r="AD22" s="58">
        <f>(40000000+10000000+34000000+46770000-400000-200000+55024000-1400000-166000+86777000-662000+50000000)/1000000</f>
        <v>319.74299999999999</v>
      </c>
    </row>
    <row r="23" spans="2:30" s="24" customFormat="1" x14ac:dyDescent="0.25">
      <c r="B23" s="24" t="s">
        <v>78</v>
      </c>
      <c r="C23" s="36" t="s">
        <v>76</v>
      </c>
      <c r="D23" s="37" t="s">
        <v>74</v>
      </c>
      <c r="E23" s="30" t="s">
        <v>78</v>
      </c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31"/>
      <c r="S23" s="31"/>
      <c r="T23" s="31"/>
      <c r="U23" s="31"/>
      <c r="V23" s="31"/>
      <c r="W23" s="31"/>
      <c r="X23" s="31"/>
      <c r="Y23" s="31"/>
      <c r="Z23" s="31"/>
      <c r="AA23" s="31">
        <f>(340000000)/1000000</f>
        <v>340</v>
      </c>
      <c r="AB23" s="31">
        <f>(340000000)/1000000</f>
        <v>340</v>
      </c>
      <c r="AC23" s="58">
        <f>(52507000+350000000)/1000000</f>
        <v>402.50700000000001</v>
      </c>
      <c r="AD23" s="58">
        <f>(350000000)/1000000</f>
        <v>350</v>
      </c>
    </row>
    <row r="24" spans="2:30" s="24" customFormat="1" x14ac:dyDescent="0.25">
      <c r="B24" s="24" t="s">
        <v>79</v>
      </c>
      <c r="C24" s="36" t="s">
        <v>80</v>
      </c>
      <c r="D24" s="37" t="s">
        <v>73</v>
      </c>
      <c r="E24" s="30" t="s">
        <v>79</v>
      </c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31"/>
      <c r="S24" s="31"/>
      <c r="T24" s="31"/>
      <c r="U24" s="31"/>
      <c r="V24" s="31"/>
      <c r="W24" s="31"/>
      <c r="X24" s="31"/>
      <c r="Y24" s="31"/>
      <c r="Z24" s="31">
        <f>455000000/1000000</f>
        <v>455</v>
      </c>
      <c r="AA24" s="31">
        <f>(455000000+19000000)/1000000</f>
        <v>474</v>
      </c>
      <c r="AB24" s="31">
        <f>(455000000+19000000)/1000000</f>
        <v>474</v>
      </c>
      <c r="AC24" s="58">
        <f>(455000000+19000000)/1000000</f>
        <v>474</v>
      </c>
      <c r="AD24" s="58">
        <f>(455000000+19000000)/1000000</f>
        <v>474</v>
      </c>
    </row>
    <row r="25" spans="2:30" s="24" customFormat="1" x14ac:dyDescent="0.25">
      <c r="C25" s="38"/>
      <c r="D25" s="39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1"/>
      <c r="S25" s="40"/>
      <c r="T25" s="40"/>
      <c r="U25" s="40"/>
      <c r="V25" s="40"/>
      <c r="W25" s="38"/>
      <c r="X25" s="38"/>
      <c r="Z25" s="53"/>
    </row>
    <row r="26" spans="2:30" s="24" customFormat="1" x14ac:dyDescent="0.25">
      <c r="B26" s="24" t="s">
        <v>47</v>
      </c>
      <c r="C26" s="61" t="s">
        <v>31</v>
      </c>
      <c r="D26" s="29" t="s">
        <v>63</v>
      </c>
      <c r="E26" s="30" t="s">
        <v>47</v>
      </c>
      <c r="F26" s="28"/>
      <c r="G26" s="28">
        <f t="shared" ref="G26:L26" si="7">G27-G30</f>
        <v>70.58045439</v>
      </c>
      <c r="H26" s="28">
        <f t="shared" si="7"/>
        <v>137.97945667000002</v>
      </c>
      <c r="I26" s="28">
        <f t="shared" si="7"/>
        <v>134.13986218999997</v>
      </c>
      <c r="J26" s="28">
        <f t="shared" si="7"/>
        <v>161.31085558000001</v>
      </c>
      <c r="K26" s="28">
        <f t="shared" si="7"/>
        <v>140.83994187999991</v>
      </c>
      <c r="L26" s="28">
        <f t="shared" si="7"/>
        <v>153.01727028000016</v>
      </c>
      <c r="M26" s="28">
        <v>142.86434379000013</v>
      </c>
      <c r="N26" s="28">
        <v>188.04583457000001</v>
      </c>
      <c r="O26" s="28">
        <v>234.51621827000002</v>
      </c>
      <c r="P26" s="28">
        <v>228.34253199</v>
      </c>
      <c r="Q26" s="28">
        <v>169.54368901999993</v>
      </c>
      <c r="R26" s="31">
        <f t="shared" ref="R26:W26" si="8">R27-R30</f>
        <v>116.02999999999997</v>
      </c>
      <c r="S26" s="31">
        <f t="shared" si="8"/>
        <v>99.037396970000032</v>
      </c>
      <c r="T26" s="31">
        <f t="shared" si="8"/>
        <v>79.91716447999994</v>
      </c>
      <c r="U26" s="31">
        <f t="shared" si="8"/>
        <v>72.106077599999935</v>
      </c>
      <c r="V26" s="31">
        <f t="shared" si="8"/>
        <v>71.22224486999994</v>
      </c>
      <c r="W26" s="31">
        <f t="shared" si="8"/>
        <v>88.92798621999998</v>
      </c>
      <c r="X26" s="52">
        <f t="shared" ref="X26:Y26" si="9">X27-X30</f>
        <v>111.6360939700001</v>
      </c>
      <c r="Y26" s="52">
        <f t="shared" si="9"/>
        <v>119.17043410000002</v>
      </c>
      <c r="Z26" s="53">
        <f t="shared" ref="Z26" si="10">Z27-Z30</f>
        <v>118.82020987999999</v>
      </c>
      <c r="AA26" s="53">
        <f>AA27-AA30</f>
        <v>23.726701060000039</v>
      </c>
      <c r="AB26" s="54">
        <f>AB27-AB30</f>
        <v>21.827816760000019</v>
      </c>
      <c r="AC26" s="54">
        <f>AC27-AC30</f>
        <v>49.547588079999969</v>
      </c>
      <c r="AD26" s="54">
        <f>AD27-AD30</f>
        <v>30.393712340000036</v>
      </c>
    </row>
    <row r="27" spans="2:30" s="24" customFormat="1" x14ac:dyDescent="0.25">
      <c r="B27" s="24" t="s">
        <v>48</v>
      </c>
      <c r="C27" s="32" t="s">
        <v>32</v>
      </c>
      <c r="D27" s="33" t="s">
        <v>65</v>
      </c>
      <c r="E27" s="30" t="s">
        <v>48</v>
      </c>
      <c r="F27" s="28"/>
      <c r="G27" s="28">
        <f t="shared" ref="G27:L27" si="11">G28-G29</f>
        <v>224.70728162</v>
      </c>
      <c r="H27" s="28">
        <f t="shared" si="11"/>
        <v>287.02421583</v>
      </c>
      <c r="I27" s="28">
        <f t="shared" si="11"/>
        <v>326.43190432999995</v>
      </c>
      <c r="J27" s="28">
        <f t="shared" si="11"/>
        <v>406.58389338000001</v>
      </c>
      <c r="K27" s="28">
        <f t="shared" si="11"/>
        <v>543.07343762999994</v>
      </c>
      <c r="L27" s="28">
        <f t="shared" si="11"/>
        <v>722.46291783000004</v>
      </c>
      <c r="M27" s="28">
        <v>717.84260523000012</v>
      </c>
      <c r="N27" s="28">
        <v>721.84496267999998</v>
      </c>
      <c r="O27" s="28">
        <v>661.13638300000002</v>
      </c>
      <c r="P27" s="28">
        <v>606.24425031999999</v>
      </c>
      <c r="Q27" s="28">
        <v>507.41140301999997</v>
      </c>
      <c r="R27" s="31">
        <f t="shared" ref="R27:W27" si="12">R28-R29</f>
        <v>482.71999999999991</v>
      </c>
      <c r="S27" s="31">
        <f t="shared" si="12"/>
        <v>419.32905950000003</v>
      </c>
      <c r="T27" s="31">
        <f t="shared" si="12"/>
        <v>416.32254805999997</v>
      </c>
      <c r="U27" s="31">
        <f t="shared" si="12"/>
        <v>488.90660418999994</v>
      </c>
      <c r="V27" s="31">
        <f t="shared" si="12"/>
        <v>475.58946927</v>
      </c>
      <c r="W27" s="31">
        <f t="shared" si="12"/>
        <v>487.55845451999994</v>
      </c>
      <c r="X27" s="52">
        <f t="shared" ref="X27:AD27" si="13">X28-X29</f>
        <v>524.39914583000007</v>
      </c>
      <c r="Y27" s="52">
        <f t="shared" si="13"/>
        <v>480.83283978000003</v>
      </c>
      <c r="Z27" s="53">
        <f t="shared" si="13"/>
        <v>485.43239641000002</v>
      </c>
      <c r="AA27" s="53">
        <f t="shared" si="13"/>
        <v>447.4835746</v>
      </c>
      <c r="AB27" s="54">
        <f t="shared" si="13"/>
        <v>478.60880101999999</v>
      </c>
      <c r="AC27" s="54">
        <f t="shared" si="13"/>
        <v>517.27649126999995</v>
      </c>
      <c r="AD27" s="54">
        <f t="shared" si="13"/>
        <v>507.83519468999998</v>
      </c>
    </row>
    <row r="28" spans="2:30" s="24" customFormat="1" x14ac:dyDescent="0.25">
      <c r="B28" s="24" t="s">
        <v>49</v>
      </c>
      <c r="C28" s="36" t="s">
        <v>33</v>
      </c>
      <c r="D28" s="37" t="s">
        <v>64</v>
      </c>
      <c r="E28" s="30" t="s">
        <v>49</v>
      </c>
      <c r="F28" s="28"/>
      <c r="G28" s="28">
        <v>298.58428162000001</v>
      </c>
      <c r="H28" s="28">
        <v>353.10521583000002</v>
      </c>
      <c r="I28" s="28">
        <v>392.51290432999997</v>
      </c>
      <c r="J28" s="28">
        <v>445.99989338</v>
      </c>
      <c r="K28" s="28">
        <v>581.72643762999996</v>
      </c>
      <c r="L28" s="28">
        <v>787.09291783000003</v>
      </c>
      <c r="M28" s="28">
        <v>816.88814608000007</v>
      </c>
      <c r="N28" s="28">
        <v>828.59050352999998</v>
      </c>
      <c r="O28" s="28">
        <v>767.88192385000002</v>
      </c>
      <c r="P28" s="28">
        <v>737.27396453000006</v>
      </c>
      <c r="Q28" s="28">
        <v>663.62640499999998</v>
      </c>
      <c r="R28" s="31">
        <v>689.81</v>
      </c>
      <c r="S28" s="31">
        <v>541.02244812000004</v>
      </c>
      <c r="T28" s="58">
        <v>518.47196714999995</v>
      </c>
      <c r="U28" s="58">
        <v>569.28456530999995</v>
      </c>
      <c r="V28" s="58">
        <f>519620827.07/1000000</f>
        <v>519.62082707000002</v>
      </c>
      <c r="W28" s="59">
        <f>536861027.62/1000000</f>
        <v>536.86102761999996</v>
      </c>
      <c r="X28" s="59">
        <f>583669652/1000000</f>
        <v>583.66965200000004</v>
      </c>
      <c r="Y28" s="59">
        <f>523231030.3/1000000</f>
        <v>523.23103030000004</v>
      </c>
      <c r="Z28" s="56">
        <f>529656038.1/1000000</f>
        <v>529.65603810000005</v>
      </c>
      <c r="AA28" s="56">
        <f>482976332.14/1000000</f>
        <v>482.97633214000001</v>
      </c>
      <c r="AB28" s="56">
        <f>508417825.56/1000000</f>
        <v>508.41782555999998</v>
      </c>
      <c r="AC28" s="56">
        <f>(603831277.9-52507000)/1000000</f>
        <v>551.32427789999997</v>
      </c>
      <c r="AD28" s="56">
        <v>547.52893395000001</v>
      </c>
    </row>
    <row r="29" spans="2:30" s="24" customFormat="1" x14ac:dyDescent="0.25">
      <c r="B29" s="24" t="s">
        <v>50</v>
      </c>
      <c r="C29" s="36" t="s">
        <v>34</v>
      </c>
      <c r="D29" s="37" t="s">
        <v>59</v>
      </c>
      <c r="E29" s="30" t="s">
        <v>50</v>
      </c>
      <c r="F29" s="28"/>
      <c r="G29" s="28">
        <v>73.876999999999995</v>
      </c>
      <c r="H29" s="28">
        <v>66.081000000000003</v>
      </c>
      <c r="I29" s="28">
        <v>66.081000000000003</v>
      </c>
      <c r="J29" s="28">
        <v>39.415999999999997</v>
      </c>
      <c r="K29" s="28">
        <v>38.652999999999999</v>
      </c>
      <c r="L29" s="28">
        <v>64.63</v>
      </c>
      <c r="M29" s="28">
        <v>99.045540849999995</v>
      </c>
      <c r="N29" s="28">
        <v>106.74554085</v>
      </c>
      <c r="O29" s="28">
        <v>106.74554085</v>
      </c>
      <c r="P29" s="28">
        <v>131.02971421000001</v>
      </c>
      <c r="Q29" s="28">
        <v>156.21500198000001</v>
      </c>
      <c r="R29" s="31">
        <v>207.09</v>
      </c>
      <c r="S29" s="31">
        <v>121.69338861999999</v>
      </c>
      <c r="T29" s="31">
        <v>102.14941908999999</v>
      </c>
      <c r="U29" s="31">
        <v>80.377961119999995</v>
      </c>
      <c r="V29" s="31">
        <f>44031357.8/1000000</f>
        <v>44.031357799999995</v>
      </c>
      <c r="W29" s="52">
        <f>49302573.1/1000000</f>
        <v>49.302573100000004</v>
      </c>
      <c r="X29" s="52">
        <f>59270506.17/1000000</f>
        <v>59.270506170000004</v>
      </c>
      <c r="Y29" s="52">
        <f>42398190.52/1000000</f>
        <v>42.39819052</v>
      </c>
      <c r="Z29" s="53">
        <f>44223641.69/1000000</f>
        <v>44.223641690000001</v>
      </c>
      <c r="AA29" s="53">
        <f>35492757.54/1000000</f>
        <v>35.492757539999999</v>
      </c>
      <c r="AB29" s="53">
        <f>29809024.54/1000000</f>
        <v>29.809024539999999</v>
      </c>
      <c r="AC29" s="53">
        <f>34047786.63/1000000</f>
        <v>34.047786630000004</v>
      </c>
      <c r="AD29" s="53">
        <f>39693739.26/1000000</f>
        <v>39.693739260000001</v>
      </c>
    </row>
    <row r="30" spans="2:30" s="24" customFormat="1" x14ac:dyDescent="0.25">
      <c r="B30" s="24" t="s">
        <v>51</v>
      </c>
      <c r="C30" s="32" t="s">
        <v>35</v>
      </c>
      <c r="D30" s="33" t="s">
        <v>66</v>
      </c>
      <c r="E30" s="30" t="s">
        <v>51</v>
      </c>
      <c r="F30" s="28"/>
      <c r="G30" s="28">
        <f t="shared" ref="G30:L30" si="14">G31-G32</f>
        <v>154.12682723</v>
      </c>
      <c r="H30" s="28">
        <f t="shared" si="14"/>
        <v>149.04475915999998</v>
      </c>
      <c r="I30" s="28">
        <f t="shared" si="14"/>
        <v>192.29204213999998</v>
      </c>
      <c r="J30" s="28">
        <f t="shared" si="14"/>
        <v>245.2730378</v>
      </c>
      <c r="K30" s="28">
        <f t="shared" si="14"/>
        <v>402.23349575000003</v>
      </c>
      <c r="L30" s="28">
        <f t="shared" si="14"/>
        <v>569.44564754999988</v>
      </c>
      <c r="M30" s="28">
        <v>574.97826143999998</v>
      </c>
      <c r="N30" s="28">
        <v>533.79912810999997</v>
      </c>
      <c r="O30" s="28">
        <v>426.62016473</v>
      </c>
      <c r="P30" s="28">
        <v>377.90171832999999</v>
      </c>
      <c r="Q30" s="28">
        <v>337.86771400000003</v>
      </c>
      <c r="R30" s="31">
        <f t="shared" ref="R30:W30" si="15">R31-R32</f>
        <v>366.68999999999994</v>
      </c>
      <c r="S30" s="31">
        <f t="shared" si="15"/>
        <v>320.29166253</v>
      </c>
      <c r="T30" s="31">
        <f t="shared" si="15"/>
        <v>336.40538358000003</v>
      </c>
      <c r="U30" s="31">
        <f t="shared" si="15"/>
        <v>416.80052659</v>
      </c>
      <c r="V30" s="31">
        <f t="shared" si="15"/>
        <v>404.36722440000005</v>
      </c>
      <c r="W30" s="31">
        <f t="shared" si="15"/>
        <v>398.63046829999996</v>
      </c>
      <c r="X30" s="52">
        <f t="shared" ref="X30:Y30" si="16">X31-X32</f>
        <v>412.76305185999996</v>
      </c>
      <c r="Y30" s="52">
        <f t="shared" si="16"/>
        <v>361.66240568000001</v>
      </c>
      <c r="Z30" s="53">
        <f t="shared" ref="Z30" si="17">Z31-Z32</f>
        <v>366.61218653000003</v>
      </c>
      <c r="AA30" s="53">
        <f t="shared" ref="AA30" si="18">AA31-AA32</f>
        <v>423.75687353999996</v>
      </c>
      <c r="AB30" s="54">
        <f>AB31-AB32</f>
        <v>456.78098425999997</v>
      </c>
      <c r="AC30" s="54">
        <f t="shared" ref="AC30:AD30" si="19">AC31-AC32</f>
        <v>467.72890318999998</v>
      </c>
      <c r="AD30" s="54">
        <f t="shared" si="19"/>
        <v>477.44148234999994</v>
      </c>
    </row>
    <row r="31" spans="2:30" s="24" customFormat="1" x14ac:dyDescent="0.25">
      <c r="B31" s="24" t="s">
        <v>52</v>
      </c>
      <c r="C31" s="36" t="s">
        <v>33</v>
      </c>
      <c r="D31" s="37" t="s">
        <v>67</v>
      </c>
      <c r="E31" s="30" t="s">
        <v>52</v>
      </c>
      <c r="F31" s="28"/>
      <c r="G31" s="28">
        <v>228.00382723000001</v>
      </c>
      <c r="H31" s="28">
        <v>228.81975915999999</v>
      </c>
      <c r="I31" s="28">
        <v>278.99104213999999</v>
      </c>
      <c r="J31" s="28">
        <v>305.39503780000001</v>
      </c>
      <c r="K31" s="28">
        <v>469.33149575000004</v>
      </c>
      <c r="L31" s="28">
        <v>641.48164754999993</v>
      </c>
      <c r="M31" s="28">
        <v>680.31426144</v>
      </c>
      <c r="N31" s="28">
        <v>643.08612811</v>
      </c>
      <c r="O31" s="28">
        <v>547.67116472999999</v>
      </c>
      <c r="P31" s="28">
        <v>519.43471833000001</v>
      </c>
      <c r="Q31" s="28">
        <v>494.06771400000002</v>
      </c>
      <c r="R31" s="31">
        <v>573.78</v>
      </c>
      <c r="S31" s="31">
        <v>441.98505115</v>
      </c>
      <c r="T31" s="31">
        <v>438.55480267000002</v>
      </c>
      <c r="U31" s="31">
        <v>497.17848771000001</v>
      </c>
      <c r="V31" s="31">
        <f>450532372.04/1000000</f>
        <v>450.53237204000004</v>
      </c>
      <c r="W31" s="52">
        <f>449259403.82/1000000</f>
        <v>449.25940381999999</v>
      </c>
      <c r="X31" s="52">
        <f>473768508.82/1000000</f>
        <v>473.76850881999997</v>
      </c>
      <c r="Y31" s="52">
        <f>406812276.54/1000000</f>
        <v>406.81227654000003</v>
      </c>
      <c r="Z31" s="53">
        <f>415181507.6/1000000</f>
        <v>415.18150760000003</v>
      </c>
      <c r="AA31" s="53">
        <f>462365282.13/1000000</f>
        <v>462.36528212999997</v>
      </c>
      <c r="AB31" s="54">
        <f>490605413.14/1000000</f>
        <v>490.60541314</v>
      </c>
      <c r="AC31" s="54">
        <f>505626201.76/1000000</f>
        <v>505.62620176000001</v>
      </c>
      <c r="AD31" s="54">
        <f>520488048.45/1000000</f>
        <v>520.48804844999995</v>
      </c>
    </row>
    <row r="32" spans="2:30" s="24" customFormat="1" x14ac:dyDescent="0.25">
      <c r="B32" s="24" t="s">
        <v>53</v>
      </c>
      <c r="C32" s="36" t="s">
        <v>36</v>
      </c>
      <c r="D32" s="37" t="s">
        <v>68</v>
      </c>
      <c r="E32" s="30" t="s">
        <v>53</v>
      </c>
      <c r="F32" s="28"/>
      <c r="G32" s="28">
        <v>73.876999999999995</v>
      </c>
      <c r="H32" s="28">
        <v>79.775000000000006</v>
      </c>
      <c r="I32" s="28">
        <v>86.698999999999998</v>
      </c>
      <c r="J32" s="28">
        <v>60.122</v>
      </c>
      <c r="K32" s="28">
        <v>67.097999999999999</v>
      </c>
      <c r="L32" s="28">
        <v>72.036000000000001</v>
      </c>
      <c r="M32" s="28">
        <v>105.336</v>
      </c>
      <c r="N32" s="28">
        <v>109.28700000000001</v>
      </c>
      <c r="O32" s="28">
        <v>121.051</v>
      </c>
      <c r="P32" s="28">
        <v>141.53299999999999</v>
      </c>
      <c r="Q32" s="28">
        <v>156.19999999999999</v>
      </c>
      <c r="R32" s="31">
        <v>207.09</v>
      </c>
      <c r="S32" s="31">
        <v>121.69338861999999</v>
      </c>
      <c r="T32" s="31">
        <v>102.14941908999999</v>
      </c>
      <c r="U32" s="31">
        <v>80.377961119999995</v>
      </c>
      <c r="V32" s="31">
        <f>46165147.64/1000000</f>
        <v>46.165147640000001</v>
      </c>
      <c r="W32" s="52">
        <f>50628935.52/1000000</f>
        <v>50.628935520000006</v>
      </c>
      <c r="X32" s="52">
        <f>61005456.96/1000000</f>
        <v>61.005456960000004</v>
      </c>
      <c r="Y32" s="52">
        <f>45149870.86/1000000</f>
        <v>45.14987086</v>
      </c>
      <c r="Z32" s="53">
        <f>48569321.07/1000000</f>
        <v>48.569321070000001</v>
      </c>
      <c r="AA32" s="53">
        <f>38608408.59/1000000</f>
        <v>38.608408590000003</v>
      </c>
      <c r="AB32" s="54">
        <f>33824428.88/1000000</f>
        <v>33.824428879999999</v>
      </c>
      <c r="AC32" s="54">
        <f>37897298.57/1000000</f>
        <v>37.897298570000004</v>
      </c>
      <c r="AD32" s="54">
        <f>43046566.1/1000000</f>
        <v>43.0465661</v>
      </c>
    </row>
    <row r="33" spans="2:30" s="24" customFormat="1" x14ac:dyDescent="0.25">
      <c r="B33" s="24" t="s">
        <v>54</v>
      </c>
      <c r="C33" s="28" t="s">
        <v>37</v>
      </c>
      <c r="D33" s="29" t="s">
        <v>60</v>
      </c>
      <c r="E33" s="30" t="s">
        <v>54</v>
      </c>
      <c r="F33" s="28"/>
      <c r="G33" s="28">
        <f t="shared" ref="G33:L33" si="20">SUM(G14,G26)</f>
        <v>136.72030839000001</v>
      </c>
      <c r="H33" s="28">
        <f t="shared" si="20"/>
        <v>209.04259244000002</v>
      </c>
      <c r="I33" s="28">
        <f t="shared" si="20"/>
        <v>207.68313592999999</v>
      </c>
      <c r="J33" s="28">
        <f t="shared" si="20"/>
        <v>233.22861986000001</v>
      </c>
      <c r="K33" s="28">
        <f t="shared" si="20"/>
        <v>207.96657653999989</v>
      </c>
      <c r="L33" s="28">
        <f t="shared" si="20"/>
        <v>215.31015103000016</v>
      </c>
      <c r="M33" s="28">
        <v>201.69422189000014</v>
      </c>
      <c r="N33" s="28">
        <v>253.10003607000002</v>
      </c>
      <c r="O33" s="28">
        <v>296.91686759000004</v>
      </c>
      <c r="P33" s="28">
        <v>283.29442118999998</v>
      </c>
      <c r="Q33" s="28">
        <v>216.56298380999999</v>
      </c>
      <c r="R33" s="31">
        <f t="shared" ref="R33:W33" si="21">SUM(R14,R26)</f>
        <v>215.37606865999999</v>
      </c>
      <c r="S33" s="31">
        <f t="shared" si="21"/>
        <v>292.66484334000006</v>
      </c>
      <c r="T33" s="31">
        <f t="shared" si="21"/>
        <v>264.65197288999991</v>
      </c>
      <c r="U33" s="31">
        <f t="shared" si="21"/>
        <v>279.23655324999993</v>
      </c>
      <c r="V33" s="31">
        <f t="shared" si="21"/>
        <v>318.24884806</v>
      </c>
      <c r="W33" s="31">
        <f t="shared" si="21"/>
        <v>349.46347673999998</v>
      </c>
      <c r="X33" s="52">
        <f t="shared" ref="X33:Y33" si="22">SUM(X14,X26)</f>
        <v>425.58120527000011</v>
      </c>
      <c r="Y33" s="52">
        <f t="shared" si="22"/>
        <v>461.82193731000001</v>
      </c>
      <c r="Z33" s="56">
        <f t="shared" ref="Z33" si="23">SUM(Z14,Z26)</f>
        <v>601.73589263999997</v>
      </c>
      <c r="AA33" s="56">
        <f t="shared" ref="AA33:AB33" si="24">SUM(AA14,AA26)</f>
        <v>532.12920309000003</v>
      </c>
      <c r="AB33" s="57">
        <f t="shared" si="24"/>
        <v>756.92657527000006</v>
      </c>
      <c r="AC33" s="57">
        <f t="shared" ref="AC33" si="25">SUM(AC14,AC26)</f>
        <v>822.05527463999999</v>
      </c>
      <c r="AD33" s="57">
        <f>SUM(AD14,AD26)</f>
        <v>729.24536121999995</v>
      </c>
    </row>
    <row r="34" spans="2:30" s="24" customFormat="1" x14ac:dyDescent="0.25">
      <c r="AB34" s="55"/>
      <c r="AC34" s="55"/>
      <c r="AD34" s="55"/>
    </row>
    <row r="35" spans="2:30" ht="15.75" customHeight="1" x14ac:dyDescent="0.25">
      <c r="C35" s="42"/>
      <c r="D35" s="43"/>
      <c r="E35" s="44"/>
      <c r="F35" s="44"/>
      <c r="G35" s="44"/>
      <c r="H35" s="44"/>
      <c r="I35" s="44"/>
      <c r="J35" s="44"/>
      <c r="K35" s="44"/>
      <c r="L35" s="44"/>
      <c r="AC35" s="60"/>
      <c r="AD35" s="60"/>
    </row>
    <row r="36" spans="2:30" ht="15.75" customHeight="1" x14ac:dyDescent="0.25">
      <c r="C36" s="45"/>
      <c r="D36" s="43"/>
      <c r="E36" s="46"/>
      <c r="F36" s="46"/>
      <c r="G36" s="46"/>
      <c r="H36" s="46"/>
      <c r="I36" s="46"/>
      <c r="J36" s="46"/>
      <c r="K36" s="46"/>
      <c r="L36" s="44"/>
      <c r="Z36" s="31"/>
    </row>
    <row r="37" spans="2:30" ht="15.75" customHeight="1" x14ac:dyDescent="0.25">
      <c r="C37" s="45"/>
      <c r="D37" s="43"/>
      <c r="E37" s="46"/>
      <c r="F37" s="46"/>
      <c r="G37" s="46"/>
      <c r="H37" s="46"/>
      <c r="I37" s="46"/>
      <c r="J37" s="46"/>
      <c r="K37" s="46"/>
      <c r="L37" s="44"/>
    </row>
    <row r="38" spans="2:30" ht="15.75" customHeight="1" x14ac:dyDescent="0.25">
      <c r="C38" s="45"/>
      <c r="D38" s="43"/>
      <c r="E38" s="46"/>
      <c r="F38" s="46"/>
      <c r="G38" s="46"/>
      <c r="H38" s="46"/>
      <c r="I38" s="46"/>
      <c r="J38" s="46"/>
      <c r="K38" s="46"/>
      <c r="L38" s="44"/>
    </row>
    <row r="39" spans="2:30" ht="15.75" customHeight="1" x14ac:dyDescent="0.25">
      <c r="C39" s="42"/>
      <c r="D39" s="43"/>
      <c r="E39" s="47"/>
      <c r="F39" s="47"/>
      <c r="G39" s="47"/>
      <c r="H39" s="47"/>
      <c r="I39" s="47"/>
      <c r="J39" s="47"/>
      <c r="K39" s="47"/>
    </row>
    <row r="40" spans="2:30" ht="15.75" customHeight="1" x14ac:dyDescent="0.25">
      <c r="C40" s="42"/>
      <c r="D40" s="43"/>
      <c r="E40" s="46"/>
      <c r="F40" s="46"/>
      <c r="G40" s="46"/>
      <c r="H40" s="46"/>
      <c r="I40" s="46"/>
      <c r="J40" s="46"/>
      <c r="K40" s="46"/>
      <c r="L40" s="44"/>
    </row>
    <row r="41" spans="2:30" ht="15.75" customHeight="1" x14ac:dyDescent="0.25">
      <c r="C41" s="42"/>
      <c r="D41" s="43"/>
      <c r="E41" s="47"/>
      <c r="F41" s="47"/>
      <c r="G41" s="47"/>
      <c r="H41" s="47"/>
      <c r="I41" s="47"/>
      <c r="J41" s="47"/>
      <c r="K41" s="47"/>
      <c r="L41" s="47"/>
    </row>
    <row r="42" spans="2:30" ht="15.75" customHeight="1" x14ac:dyDescent="0.25">
      <c r="C42" s="48"/>
      <c r="D42" s="43"/>
      <c r="E42" s="49"/>
      <c r="F42" s="49"/>
      <c r="G42" s="49"/>
      <c r="H42" s="49"/>
      <c r="I42" s="49"/>
      <c r="J42" s="49"/>
      <c r="K42" s="49"/>
      <c r="L42" s="49"/>
    </row>
    <row r="43" spans="2:30" ht="15.75" customHeight="1" x14ac:dyDescent="0.25">
      <c r="C43" s="42"/>
      <c r="D43" s="43"/>
      <c r="E43" s="50"/>
      <c r="F43" s="50"/>
      <c r="G43" s="50"/>
      <c r="H43" s="50"/>
      <c r="I43" s="50"/>
      <c r="J43" s="50"/>
      <c r="K43" s="50"/>
      <c r="L43" s="49"/>
    </row>
    <row r="44" spans="2:30" ht="15.75" customHeight="1" x14ac:dyDescent="0.25">
      <c r="C44" s="42"/>
      <c r="D44" s="43"/>
      <c r="E44" s="50"/>
      <c r="F44" s="50"/>
      <c r="G44" s="50"/>
      <c r="H44" s="50"/>
      <c r="I44" s="50"/>
      <c r="J44" s="50"/>
      <c r="K44" s="50"/>
      <c r="L44" s="49"/>
    </row>
    <row r="45" spans="2:30" ht="15.75" customHeight="1" x14ac:dyDescent="0.25">
      <c r="C45" s="42"/>
      <c r="D45" s="43"/>
      <c r="E45" s="50"/>
      <c r="F45" s="50"/>
      <c r="G45" s="50"/>
      <c r="H45" s="50"/>
      <c r="I45" s="50"/>
      <c r="J45" s="50"/>
      <c r="K45" s="50"/>
      <c r="L45" s="49"/>
    </row>
    <row r="46" spans="2:30" ht="15.75" customHeight="1" x14ac:dyDescent="0.25">
      <c r="C46" s="42"/>
      <c r="D46" s="43"/>
      <c r="E46" s="49"/>
      <c r="F46" s="49"/>
      <c r="G46" s="49"/>
      <c r="H46" s="49"/>
      <c r="I46" s="49"/>
      <c r="J46" s="49"/>
      <c r="K46" s="49"/>
      <c r="L46" s="49"/>
    </row>
    <row r="47" spans="2:30" ht="15.75" customHeight="1" x14ac:dyDescent="0.25">
      <c r="C47" s="45"/>
      <c r="D47" s="43"/>
      <c r="E47" s="50"/>
      <c r="F47" s="50"/>
      <c r="G47" s="50"/>
      <c r="H47" s="50"/>
      <c r="I47" s="50"/>
      <c r="J47" s="50"/>
      <c r="K47" s="50"/>
      <c r="L47" s="49"/>
    </row>
    <row r="48" spans="2:30" ht="15.75" customHeight="1" x14ac:dyDescent="0.25">
      <c r="C48" s="45"/>
      <c r="D48" s="43"/>
      <c r="E48" s="50"/>
      <c r="F48" s="50"/>
      <c r="G48" s="50"/>
      <c r="H48" s="50"/>
      <c r="I48" s="50"/>
      <c r="J48" s="50"/>
      <c r="K48" s="50"/>
      <c r="L48" s="49"/>
    </row>
    <row r="49" spans="3:12" ht="15.75" customHeight="1" x14ac:dyDescent="0.25">
      <c r="C49" s="45"/>
      <c r="D49" s="43"/>
      <c r="E49" s="47"/>
      <c r="F49" s="47"/>
      <c r="G49" s="47"/>
      <c r="H49" s="47"/>
      <c r="I49" s="47"/>
      <c r="J49" s="47"/>
      <c r="K49" s="47"/>
      <c r="L49" s="47"/>
    </row>
    <row r="50" spans="3:12" ht="15.75" customHeight="1" x14ac:dyDescent="0.25">
      <c r="C50" s="45"/>
      <c r="D50" s="43"/>
      <c r="E50" s="50"/>
      <c r="F50" s="50"/>
      <c r="G50" s="50"/>
      <c r="H50" s="50"/>
      <c r="I50" s="50"/>
      <c r="J50" s="50"/>
      <c r="K50" s="50"/>
      <c r="L50" s="49"/>
    </row>
    <row r="51" spans="3:12" ht="15.75" customHeight="1" x14ac:dyDescent="0.25">
      <c r="C51" s="45"/>
      <c r="D51" s="43"/>
      <c r="E51" s="47"/>
      <c r="F51" s="47"/>
      <c r="G51" s="47"/>
      <c r="H51" s="47"/>
      <c r="I51" s="47"/>
      <c r="J51" s="47"/>
      <c r="K51" s="47"/>
      <c r="L51" s="47"/>
    </row>
    <row r="52" spans="3:12" ht="15.75" customHeight="1" x14ac:dyDescent="0.25">
      <c r="C52" s="51"/>
      <c r="D52" s="43"/>
      <c r="E52" s="50"/>
      <c r="F52" s="50"/>
      <c r="G52" s="50"/>
      <c r="H52" s="50"/>
      <c r="I52" s="50"/>
      <c r="J52" s="50"/>
      <c r="K52" s="50"/>
      <c r="L52" s="50"/>
    </row>
    <row r="55" spans="3:12" ht="15.75" customHeight="1" x14ac:dyDescent="0.25">
      <c r="E55" s="49"/>
      <c r="F55" s="49"/>
      <c r="G55" s="49"/>
      <c r="H55" s="49"/>
      <c r="I55" s="49"/>
      <c r="J55" s="49"/>
      <c r="K55" s="49"/>
      <c r="L55" s="49"/>
    </row>
  </sheetData>
  <conditionalFormatting sqref="D11">
    <cfRule type="duplicateValues" dxfId="3" priority="2"/>
  </conditionalFormatting>
  <conditionalFormatting sqref="D12:D13 D34:D52">
    <cfRule type="duplicateValues" dxfId="2" priority="46"/>
  </conditionalFormatting>
  <conditionalFormatting sqref="D53:F54 D56:F1048576 D55:L55 D12:D13 D1:F1 D10:F10 D2:D9 D34:D52">
    <cfRule type="duplicateValues" dxfId="1" priority="37"/>
  </conditionalFormatting>
  <conditionalFormatting sqref="E11">
    <cfRule type="duplicateValues" dxfId="0" priority="1"/>
  </conditionalFormatting>
  <dataValidations count="2">
    <dataValidation type="list" allowBlank="1" showInputMessage="1" showErrorMessage="1" sqref="C8">
      <formula1>$WWQ$4:$WWQ$6</formula1>
    </dataValidation>
    <dataValidation type="list" allowBlank="1" showErrorMessage="1" prompt="_x000a_" sqref="C7">
      <formula1>$WWR$4:$WWR$7</formula1>
    </dataValidation>
  </dataValidations>
  <pageMargins left="0.7" right="0.7" top="1.3149999999999999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mauro sammaritani</cp:lastModifiedBy>
  <cp:lastPrinted>2023-11-13T08:54:09Z</cp:lastPrinted>
  <dcterms:created xsi:type="dcterms:W3CDTF">2016-03-10T14:57:36Z</dcterms:created>
  <dcterms:modified xsi:type="dcterms:W3CDTF">2026-02-03T09:55:56Z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